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190"/>
  </bookViews>
  <sheets>
    <sheet name="DGDO" sheetId="95" r:id="rId1"/>
    <sheet name="West_Summary" sheetId="23" r:id="rId2"/>
    <sheet name="NGML Gas Allocation " sheetId="24" r:id="rId3"/>
    <sheet name="NGML_Attribution" sheetId="80" r:id="rId4"/>
    <sheet name="NPDC JV ALLOCATION" sheetId="14" r:id="rId5"/>
    <sheet name="CNL Allocation " sheetId="15" r:id="rId6"/>
    <sheet name="NEPL-Oredo" sheetId="17" r:id="rId7"/>
    <sheet name="NPDC Neconde" sheetId="31" r:id="rId8"/>
    <sheet name="Panocean Allocation" sheetId="8" r:id="rId9"/>
    <sheet name="Xenergi" sheetId="52" r:id="rId10"/>
    <sheet name="Chorus" sheetId="85" r:id="rId11"/>
    <sheet name="SPDC" sheetId="71" r:id="rId12"/>
    <sheet name="AHL Allocation " sheetId="39" r:id="rId13"/>
    <sheet name="Axxela" sheetId="77" r:id="rId14"/>
    <sheet name="PPL Allocation  " sheetId="40" r:id="rId15"/>
    <sheet name="SNG" sheetId="59" r:id="rId16"/>
    <sheet name="Seplat (Oben)  Allocation" sheetId="18" r:id="rId17"/>
    <sheet name="Egbin_Attribution" sheetId="79" r:id="rId18"/>
    <sheet name="Egbin Allocation" sheetId="45" r:id="rId19"/>
    <sheet name="NDPHC Attribution" sheetId="47" r:id="rId20"/>
    <sheet name="Oceandaire" sheetId="68" r:id="rId21"/>
    <sheet name="Gashub" sheetId="58" r:id="rId22"/>
    <sheet name="Transcorp" sheetId="84" r:id="rId23"/>
    <sheet name="Tetracore" sheetId="66" r:id="rId24"/>
    <sheet name="QSL" sheetId="70" r:id="rId25"/>
    <sheet name="PCC" sheetId="81" r:id="rId26"/>
    <sheet name="MSN" sheetId="57" r:id="rId27"/>
    <sheet name="Pacific" sheetId="72" r:id="rId28"/>
    <sheet name="DFL_Attribution" sheetId="51" r:id="rId29"/>
    <sheet name="East_Summary" sheetId="86" r:id="rId30"/>
    <sheet name="Accugas" sheetId="87" r:id="rId31"/>
    <sheet name="HHOG" sheetId="88" r:id="rId32"/>
    <sheet name="NEOL" sheetId="89" r:id="rId33"/>
    <sheet name="FIPL" sheetId="90" r:id="rId34"/>
    <sheet name="Notore" sheetId="91" r:id="rId35"/>
    <sheet name="CHGC" sheetId="92" r:id="rId36"/>
    <sheet name="NGML" sheetId="93" r:id="rId37"/>
    <sheet name="TransAfam" sheetId="94" r:id="rId38"/>
  </sheets>
  <definedNames>
    <definedName name="_xlnm.Print_Area" localSheetId="30">Accugas!$B$2:$H$13</definedName>
    <definedName name="_xlnm.Print_Area" localSheetId="12">'AHL Allocation '!$B$2:$G$12</definedName>
    <definedName name="_xlnm.Print_Area" localSheetId="13">Axxela!$B$2:$G$11</definedName>
    <definedName name="_xlnm.Print_Area" localSheetId="35">CHGC!$B$2:$G$22</definedName>
    <definedName name="_xlnm.Print_Area" localSheetId="10">Chorus!$B$2:$G$12</definedName>
    <definedName name="_xlnm.Print_Area" localSheetId="5">'CNL Allocation '!$B$2:$O$10</definedName>
    <definedName name="_xlnm.Print_Area" localSheetId="28">DFL_Attribution!$B$2:$I$13</definedName>
    <definedName name="_xlnm.Print_Area" localSheetId="17">Egbin_Attribution!$B$2:$G$13</definedName>
    <definedName name="_xlnm.Print_Area" localSheetId="33">FIPL!$B$2:$G$23</definedName>
    <definedName name="_xlnm.Print_Area" localSheetId="21">Gashub!$B$2:$H$18</definedName>
    <definedName name="_xlnm.Print_Area" localSheetId="31">HHOG!$B$2:$H$13</definedName>
    <definedName name="_xlnm.Print_Area" localSheetId="26">MSN!$B$2:$J$22</definedName>
    <definedName name="_xlnm.Print_Area" localSheetId="19">'NDPHC Attribution'!$B$2:$G$20</definedName>
    <definedName name="_xlnm.Print_Area" localSheetId="32">NEOL!$B$2:$G$13</definedName>
    <definedName name="_xlnm.Print_Area" localSheetId="6">'NEPL-Oredo'!$B$2:$H$12</definedName>
    <definedName name="_xlnm.Print_Area" localSheetId="36">NGML!$B$2:$G$22</definedName>
    <definedName name="_xlnm.Print_Area" localSheetId="3">NGML_Attribution!$B$2:$F$14</definedName>
    <definedName name="_xlnm.Print_Area" localSheetId="34">Notore!$B$2:$G$23</definedName>
    <definedName name="_xlnm.Print_Area" localSheetId="4">'NPDC JV ALLOCATION'!$B$2:$O$11</definedName>
    <definedName name="_xlnm.Print_Area" localSheetId="7">'NPDC Neconde'!$B$2:$G$11</definedName>
    <definedName name="_xlnm.Print_Area" localSheetId="20">Oceandaire!$B$2:$G$19</definedName>
    <definedName name="_xlnm.Print_Area" localSheetId="27">Pacific!$B$2:$G$18</definedName>
    <definedName name="_xlnm.Print_Area" localSheetId="8">'Panocean Allocation'!$B$2:$H$11</definedName>
    <definedName name="_xlnm.Print_Area" localSheetId="25">PCC!$B$2:$G$18</definedName>
    <definedName name="_xlnm.Print_Area" localSheetId="14">'PPL Allocation  '!$B$2:$H$12</definedName>
    <definedName name="_xlnm.Print_Area" localSheetId="24">QSL!$B$2:$G$18</definedName>
    <definedName name="_xlnm.Print_Area" localSheetId="16">'Seplat (Oben)  Allocation'!$B$2:$N$8</definedName>
    <definedName name="_xlnm.Print_Area" localSheetId="15">SNG!$B$2:$G$26</definedName>
    <definedName name="_xlnm.Print_Area" localSheetId="11">SPDC!$B$2:$G$12</definedName>
    <definedName name="_xlnm.Print_Area" localSheetId="23">Tetracore!$B$2:$G$20</definedName>
    <definedName name="_xlnm.Print_Area" localSheetId="37">TransAfam!$B$2:$G$22</definedName>
    <definedName name="_xlnm.Print_Area" localSheetId="22">Transcorp!$B$2:$G$13</definedName>
    <definedName name="_xlnm.Print_Area" localSheetId="9">Xenergi!$B$2:$G$12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79" l="1"/>
  <c r="G20" i="45"/>
  <c r="G19" i="45"/>
  <c r="H14" i="45"/>
  <c r="H13" i="45"/>
  <c r="G5" i="51"/>
  <c r="C30" i="23"/>
  <c r="E5" i="51" l="1"/>
  <c r="D5" i="51"/>
  <c r="F5" i="71"/>
  <c r="D6" i="71"/>
  <c r="M6" i="14" l="1"/>
  <c r="I6" i="14"/>
  <c r="D11" i="45"/>
  <c r="D10" i="45"/>
  <c r="F16" i="90" l="1"/>
  <c r="F17" i="90"/>
  <c r="F19" i="90"/>
  <c r="F16" i="94"/>
  <c r="F18" i="94" s="1"/>
  <c r="F9" i="94"/>
  <c r="E9" i="94"/>
  <c r="C7" i="94"/>
  <c r="C9" i="94" s="1"/>
  <c r="D6" i="94"/>
  <c r="F9" i="93"/>
  <c r="E9" i="93"/>
  <c r="D6" i="93"/>
  <c r="F16" i="92"/>
  <c r="F18" i="92" s="1"/>
  <c r="F9" i="92"/>
  <c r="E9" i="92"/>
  <c r="C7" i="92"/>
  <c r="C9" i="92" s="1"/>
  <c r="D6" i="92"/>
  <c r="F17" i="91"/>
  <c r="F9" i="91"/>
  <c r="C7" i="91"/>
  <c r="C9" i="91" s="1"/>
  <c r="D6" i="91"/>
  <c r="F9" i="90"/>
  <c r="C7" i="90"/>
  <c r="C9" i="90" s="1"/>
  <c r="D6" i="90"/>
  <c r="F9" i="89"/>
  <c r="E9" i="89"/>
  <c r="E7" i="91" s="1"/>
  <c r="E9" i="91" s="1"/>
  <c r="D9" i="89"/>
  <c r="E11" i="89" s="1"/>
  <c r="D6" i="86" s="1"/>
  <c r="C7" i="89"/>
  <c r="C9" i="89" s="1"/>
  <c r="E6" i="89"/>
  <c r="D6" i="89"/>
  <c r="G9" i="88"/>
  <c r="F9" i="88"/>
  <c r="E9" i="88"/>
  <c r="D7" i="94" s="1"/>
  <c r="D9" i="88"/>
  <c r="C7" i="88"/>
  <c r="C9" i="88" s="1"/>
  <c r="E6" i="88"/>
  <c r="D6" i="88"/>
  <c r="G9" i="87"/>
  <c r="F9" i="87"/>
  <c r="D7" i="91" s="1"/>
  <c r="D9" i="91" s="1"/>
  <c r="E12" i="91" s="1"/>
  <c r="E9" i="87"/>
  <c r="D9" i="87"/>
  <c r="F11" i="87" s="1"/>
  <c r="D4" i="86" s="1"/>
  <c r="C7" i="87"/>
  <c r="H7" i="87" s="1"/>
  <c r="H9" i="87" s="1"/>
  <c r="D6" i="87"/>
  <c r="C22" i="86"/>
  <c r="E21" i="86"/>
  <c r="E20" i="86"/>
  <c r="D19" i="86"/>
  <c r="E19" i="86" s="1"/>
  <c r="D18" i="86"/>
  <c r="E18" i="86" s="1"/>
  <c r="D17" i="86"/>
  <c r="D16" i="86"/>
  <c r="E15" i="86"/>
  <c r="D15" i="86"/>
  <c r="D14" i="86"/>
  <c r="D13" i="86"/>
  <c r="D22" i="86" s="1"/>
  <c r="C10" i="86"/>
  <c r="D7" i="90" l="1"/>
  <c r="D9" i="90" s="1"/>
  <c r="E7" i="90"/>
  <c r="E9" i="90" s="1"/>
  <c r="F11" i="88"/>
  <c r="D5" i="86" s="1"/>
  <c r="F5" i="86" s="1"/>
  <c r="F16" i="93"/>
  <c r="F18" i="93" s="1"/>
  <c r="F16" i="91"/>
  <c r="F19" i="91" s="1"/>
  <c r="C9" i="87"/>
  <c r="E6" i="86"/>
  <c r="F6" i="86"/>
  <c r="D9" i="94"/>
  <c r="E12" i="94" s="1"/>
  <c r="G7" i="94"/>
  <c r="G9" i="94" s="1"/>
  <c r="E5" i="86"/>
  <c r="E4" i="86"/>
  <c r="E10" i="86" s="1"/>
  <c r="F4" i="86"/>
  <c r="D10" i="86"/>
  <c r="F10" i="86" s="1"/>
  <c r="I7" i="90"/>
  <c r="C7" i="93"/>
  <c r="H7" i="88"/>
  <c r="H9" i="88" s="1"/>
  <c r="G7" i="89"/>
  <c r="G9" i="89" s="1"/>
  <c r="G7" i="91"/>
  <c r="G9" i="91" s="1"/>
  <c r="D7" i="92"/>
  <c r="D9" i="92" s="1"/>
  <c r="E12" i="92" s="1"/>
  <c r="D7" i="93"/>
  <c r="D9" i="93" s="1"/>
  <c r="E12" i="93" s="1"/>
  <c r="E13" i="86"/>
  <c r="E22" i="86" s="1"/>
  <c r="G7" i="90" l="1"/>
  <c r="G9" i="90" s="1"/>
  <c r="E12" i="90"/>
  <c r="G7" i="92"/>
  <c r="G9" i="92" s="1"/>
  <c r="C9" i="93"/>
  <c r="G7" i="93"/>
  <c r="G9" i="93" s="1"/>
  <c r="C6" i="18" l="1"/>
  <c r="E12" i="23"/>
  <c r="D12" i="23"/>
  <c r="E20" i="24" l="1"/>
  <c r="D4" i="85"/>
  <c r="C6" i="85"/>
  <c r="C8" i="85" s="1"/>
  <c r="F8" i="85"/>
  <c r="E8" i="85"/>
  <c r="D8" i="85"/>
  <c r="E10" i="85" s="1"/>
  <c r="F6" i="51"/>
  <c r="G4" i="51"/>
  <c r="F4" i="51"/>
  <c r="E4" i="51"/>
  <c r="F4" i="57"/>
  <c r="D4" i="57"/>
  <c r="D4" i="84"/>
  <c r="E15" i="68"/>
  <c r="E16" i="68"/>
  <c r="L8" i="18"/>
  <c r="E8" i="18"/>
  <c r="C5" i="59"/>
  <c r="E10" i="40"/>
  <c r="C8" i="71"/>
  <c r="D8" i="8"/>
  <c r="F6" i="8"/>
  <c r="D6" i="8"/>
  <c r="E6" i="17"/>
  <c r="F6" i="17"/>
  <c r="D8" i="71" l="1"/>
  <c r="G6" i="85"/>
  <c r="G8" i="85" s="1"/>
  <c r="D6" i="17"/>
  <c r="F6" i="15"/>
  <c r="G6" i="15"/>
  <c r="J6" i="15"/>
  <c r="K6" i="15"/>
  <c r="N6" i="15"/>
  <c r="N6" i="14"/>
  <c r="E8" i="14"/>
  <c r="G6" i="14"/>
  <c r="G8" i="14" s="1"/>
  <c r="D6" i="14"/>
  <c r="C22" i="24"/>
  <c r="E6" i="51" l="1"/>
  <c r="H6" i="51" s="1"/>
  <c r="E4" i="84"/>
  <c r="C6" i="84" l="1"/>
  <c r="C8" i="84" s="1"/>
  <c r="D11" i="84"/>
  <c r="D8" i="84" l="1"/>
  <c r="E8" i="84"/>
  <c r="F6" i="84"/>
  <c r="F8" i="84" l="1"/>
  <c r="C6" i="8"/>
  <c r="H6" i="8" s="1"/>
  <c r="C12" i="59" l="1"/>
  <c r="G11" i="59"/>
  <c r="C19" i="59" s="1"/>
  <c r="D11" i="59"/>
  <c r="E11" i="59" s="1"/>
  <c r="D8" i="59"/>
  <c r="E8" i="59" l="1"/>
  <c r="E9" i="59"/>
  <c r="E10" i="59"/>
  <c r="E12" i="59" l="1"/>
  <c r="E13" i="59" s="1"/>
  <c r="G10" i="59" s="1"/>
  <c r="C18" i="59" s="1"/>
  <c r="G8" i="59" l="1"/>
  <c r="C16" i="59" s="1"/>
  <c r="E6" i="71" s="1"/>
  <c r="E8" i="71" s="1"/>
  <c r="G9" i="59"/>
  <c r="C17" i="59" s="1"/>
  <c r="F6" i="14" s="1"/>
  <c r="F8" i="14" s="1"/>
  <c r="C20" i="59" l="1"/>
  <c r="G12" i="59"/>
  <c r="H6" i="18" l="1"/>
  <c r="E4" i="58" l="1"/>
  <c r="D4" i="51" l="1"/>
  <c r="D26" i="24" l="1"/>
  <c r="F8" i="81" l="1"/>
  <c r="E8" i="81"/>
  <c r="E10" i="81" l="1"/>
  <c r="D8" i="81"/>
  <c r="E18" i="24" s="1"/>
  <c r="G8" i="57" l="1"/>
  <c r="E14" i="81" s="1"/>
  <c r="E16" i="81" s="1"/>
  <c r="C6" i="81" s="1"/>
  <c r="C8" i="81" l="1"/>
  <c r="G6" i="81"/>
  <c r="G8" i="81" s="1"/>
  <c r="F8" i="8"/>
  <c r="E5" i="79" l="1"/>
  <c r="E4" i="79"/>
  <c r="D5" i="79"/>
  <c r="D4" i="79"/>
  <c r="E9" i="80" l="1"/>
  <c r="C6" i="79" l="1"/>
  <c r="F8" i="79"/>
  <c r="C8" i="79" l="1"/>
  <c r="AG11" i="45" l="1"/>
  <c r="AG10" i="45"/>
  <c r="AG7" i="45"/>
  <c r="AG6" i="45"/>
  <c r="AG2" i="45"/>
  <c r="D7" i="24" l="1"/>
  <c r="D9" i="24"/>
  <c r="D11" i="24"/>
  <c r="D14" i="24"/>
  <c r="D22" i="24" l="1"/>
  <c r="D4" i="80"/>
  <c r="D6" i="80" s="1"/>
  <c r="L6" i="14" l="1"/>
  <c r="K6" i="14"/>
  <c r="D19" i="23" l="1"/>
  <c r="E4" i="72" l="1"/>
  <c r="E5" i="72"/>
  <c r="F8" i="70"/>
  <c r="F6" i="72" l="1"/>
  <c r="D27" i="24" l="1"/>
  <c r="C7" i="80" l="1"/>
  <c r="C9" i="80" s="1"/>
  <c r="F8" i="40"/>
  <c r="E16" i="66" s="1"/>
  <c r="C25" i="59" l="1"/>
  <c r="C26" i="59" l="1"/>
  <c r="C24" i="59" l="1"/>
  <c r="F8" i="77" l="1"/>
  <c r="D8" i="77"/>
  <c r="E8" i="77" l="1"/>
  <c r="E10" i="77" s="1"/>
  <c r="G6" i="77"/>
  <c r="G8" i="77" s="1"/>
  <c r="C8" i="77"/>
  <c r="K8" i="18" l="1"/>
  <c r="G8" i="8"/>
  <c r="E17" i="66" l="1"/>
  <c r="E15" i="72" l="1"/>
  <c r="C5" i="72" s="1"/>
  <c r="E14" i="72"/>
  <c r="C4" i="72" s="1"/>
  <c r="G4" i="72" s="1"/>
  <c r="E16" i="72" l="1"/>
  <c r="C6" i="72" s="1"/>
  <c r="C8" i="72" l="1"/>
  <c r="AG3" i="45" l="1"/>
  <c r="E8" i="8" l="1"/>
  <c r="E10" i="8" s="1"/>
  <c r="I8" i="15" l="1"/>
  <c r="E19" i="57" s="1"/>
  <c r="E8" i="70"/>
  <c r="E11" i="24" l="1"/>
  <c r="E8" i="68"/>
  <c r="F8" i="66" l="1"/>
  <c r="H8" i="15" l="1"/>
  <c r="E14" i="68" l="1"/>
  <c r="E17" i="68" s="1"/>
  <c r="D15" i="58"/>
  <c r="K8" i="15"/>
  <c r="E18" i="57" l="1"/>
  <c r="E6" i="58"/>
  <c r="J8" i="15" l="1"/>
  <c r="E14" i="66" s="1"/>
  <c r="D8" i="66" l="1"/>
  <c r="E17" i="24" s="1"/>
  <c r="L8" i="15"/>
  <c r="E17" i="57" s="1"/>
  <c r="E7" i="24" l="1"/>
  <c r="E19" i="23" l="1"/>
  <c r="C15" i="23" l="1"/>
  <c r="E7" i="58"/>
  <c r="E16" i="47"/>
  <c r="D28" i="23"/>
  <c r="E28" i="23" s="1"/>
  <c r="E11" i="58" l="1"/>
  <c r="E8" i="51"/>
  <c r="M8" i="18" l="1"/>
  <c r="C6" i="17"/>
  <c r="N8" i="15" l="1"/>
  <c r="D6" i="58" l="1"/>
  <c r="E9" i="58" l="1"/>
  <c r="D8" i="57" l="1"/>
  <c r="E16" i="24" s="1"/>
  <c r="D33" i="23" l="1"/>
  <c r="G8" i="17" l="1"/>
  <c r="E16" i="57" s="1"/>
  <c r="D9" i="58" l="1"/>
  <c r="E14" i="24" s="1"/>
  <c r="E8" i="40"/>
  <c r="E15" i="70" s="1"/>
  <c r="J8" i="18" l="1"/>
  <c r="C6" i="52"/>
  <c r="E14" i="57" l="1"/>
  <c r="G6" i="52"/>
  <c r="F8" i="47" l="1"/>
  <c r="F6" i="71" s="1"/>
  <c r="F8" i="52"/>
  <c r="E8" i="52"/>
  <c r="D8" i="52"/>
  <c r="C8" i="52"/>
  <c r="G6" i="71" l="1"/>
  <c r="G8" i="71" s="1"/>
  <c r="F8" i="71"/>
  <c r="E10" i="71" s="1"/>
  <c r="D13" i="23" s="1"/>
  <c r="E13" i="23" s="1"/>
  <c r="E15" i="24"/>
  <c r="E10" i="52"/>
  <c r="D9" i="23" s="1"/>
  <c r="G8" i="52"/>
  <c r="E14" i="47"/>
  <c r="E15" i="47"/>
  <c r="E17" i="47"/>
  <c r="E13" i="47"/>
  <c r="C8" i="51"/>
  <c r="C6" i="15"/>
  <c r="E8" i="15"/>
  <c r="C6" i="14"/>
  <c r="C8" i="14" l="1"/>
  <c r="E9" i="23"/>
  <c r="E18" i="47"/>
  <c r="C6" i="47" s="1"/>
  <c r="F8" i="72"/>
  <c r="G8" i="15"/>
  <c r="D6" i="51" s="1"/>
  <c r="F8" i="15"/>
  <c r="E4" i="24" s="1"/>
  <c r="M8" i="15"/>
  <c r="E15" i="57" s="1"/>
  <c r="C8" i="15"/>
  <c r="D8" i="51" l="1"/>
  <c r="C8" i="47" l="1"/>
  <c r="D8" i="47" l="1"/>
  <c r="E6" i="66" s="1"/>
  <c r="E8" i="66" l="1"/>
  <c r="E10" i="66"/>
  <c r="C6" i="31"/>
  <c r="G6" i="31" s="1"/>
  <c r="F8" i="31" l="1"/>
  <c r="D8" i="31"/>
  <c r="E20" i="57" s="1"/>
  <c r="C8" i="31"/>
  <c r="G8" i="31"/>
  <c r="D14" i="58"/>
  <c r="D16" i="58" s="1"/>
  <c r="C7" i="58" s="1"/>
  <c r="C9" i="58" l="1"/>
  <c r="H7" i="58"/>
  <c r="H9" i="58" s="1"/>
  <c r="C6" i="57"/>
  <c r="E8" i="31"/>
  <c r="C8" i="57" l="1"/>
  <c r="E10" i="31"/>
  <c r="E16" i="70"/>
  <c r="C6" i="70" s="1"/>
  <c r="D11" i="23"/>
  <c r="AH6" i="45"/>
  <c r="G6" i="70" l="1"/>
  <c r="C8" i="70"/>
  <c r="AH7" i="45"/>
  <c r="AH11" i="45" s="1"/>
  <c r="AH10" i="45"/>
  <c r="D13" i="45" l="1"/>
  <c r="D8" i="70"/>
  <c r="E10" i="70"/>
  <c r="AF13" i="45"/>
  <c r="AF14" i="45"/>
  <c r="C13" i="45"/>
  <c r="C14" i="45"/>
  <c r="G13" i="45"/>
  <c r="O13" i="45"/>
  <c r="W13" i="45"/>
  <c r="AE13" i="45"/>
  <c r="T13" i="45"/>
  <c r="E13" i="45"/>
  <c r="M13" i="45"/>
  <c r="U13" i="45"/>
  <c r="F13" i="45"/>
  <c r="N13" i="45"/>
  <c r="V13" i="45"/>
  <c r="P13" i="45"/>
  <c r="X13" i="45"/>
  <c r="I13" i="45"/>
  <c r="Q13" i="45"/>
  <c r="Y13" i="45"/>
  <c r="J13" i="45"/>
  <c r="R13" i="45"/>
  <c r="Z13" i="45"/>
  <c r="AA13" i="45"/>
  <c r="L13" i="45"/>
  <c r="AB13" i="45"/>
  <c r="AC13" i="45"/>
  <c r="AD13" i="45"/>
  <c r="K13" i="45"/>
  <c r="S13" i="45"/>
  <c r="I14" i="45"/>
  <c r="Q14" i="45"/>
  <c r="Y14" i="45"/>
  <c r="AA14" i="45"/>
  <c r="L14" i="45"/>
  <c r="E14" i="45"/>
  <c r="U14" i="45"/>
  <c r="N14" i="45"/>
  <c r="O14" i="45"/>
  <c r="W14" i="45"/>
  <c r="P14" i="45"/>
  <c r="J14" i="45"/>
  <c r="R14" i="45"/>
  <c r="Z14" i="45"/>
  <c r="K14" i="45"/>
  <c r="S14" i="45"/>
  <c r="D14" i="45"/>
  <c r="T14" i="45"/>
  <c r="AB14" i="45"/>
  <c r="V14" i="45"/>
  <c r="AD14" i="45"/>
  <c r="AE14" i="45"/>
  <c r="X14" i="45"/>
  <c r="M14" i="45"/>
  <c r="AC14" i="45"/>
  <c r="F14" i="45"/>
  <c r="G14" i="45"/>
  <c r="G8" i="70"/>
  <c r="AF15" i="45" l="1"/>
  <c r="AF16" i="45" s="1"/>
  <c r="C15" i="45"/>
  <c r="C16" i="45" s="1"/>
  <c r="AE15" i="45"/>
  <c r="AE16" i="45" s="1"/>
  <c r="AD15" i="45"/>
  <c r="AD16" i="45" s="1"/>
  <c r="X15" i="45"/>
  <c r="X16" i="45" s="1"/>
  <c r="V15" i="45"/>
  <c r="V16" i="45" s="1"/>
  <c r="S15" i="45"/>
  <c r="S16" i="45" s="1"/>
  <c r="K15" i="45"/>
  <c r="K16" i="45" s="1"/>
  <c r="AB15" i="45"/>
  <c r="AB16" i="45" s="1"/>
  <c r="D15" i="45"/>
  <c r="D16" i="45" s="1"/>
  <c r="AA15" i="45"/>
  <c r="AA16" i="45" s="1"/>
  <c r="AG14" i="45"/>
  <c r="T15" i="45"/>
  <c r="T16" i="45" s="1"/>
  <c r="L15" i="45"/>
  <c r="L16" i="45" s="1"/>
  <c r="Z15" i="45"/>
  <c r="Z16" i="45" s="1"/>
  <c r="AC15" i="45"/>
  <c r="AC16" i="45" s="1"/>
  <c r="J15" i="45"/>
  <c r="J16" i="45" s="1"/>
  <c r="W15" i="45"/>
  <c r="W16" i="45" s="1"/>
  <c r="I15" i="45"/>
  <c r="I16" i="45" s="1"/>
  <c r="AG13" i="45"/>
  <c r="G15" i="45"/>
  <c r="G16" i="45" s="1"/>
  <c r="M15" i="45"/>
  <c r="M16" i="45" s="1"/>
  <c r="P15" i="45"/>
  <c r="P16" i="45" s="1"/>
  <c r="H15" i="45"/>
  <c r="H16" i="45" s="1"/>
  <c r="N15" i="45"/>
  <c r="N16" i="45" s="1"/>
  <c r="U15" i="45"/>
  <c r="U16" i="45" s="1"/>
  <c r="O15" i="45"/>
  <c r="O16" i="45" s="1"/>
  <c r="F15" i="45"/>
  <c r="F16" i="45" s="1"/>
  <c r="E15" i="45"/>
  <c r="E16" i="45" s="1"/>
  <c r="Y15" i="45"/>
  <c r="Y16" i="45" s="1"/>
  <c r="Q15" i="45"/>
  <c r="Q16" i="45" s="1"/>
  <c r="R15" i="45"/>
  <c r="R16" i="45" s="1"/>
  <c r="H8" i="14" l="1"/>
  <c r="J6" i="14"/>
  <c r="O6" i="14" s="1"/>
  <c r="E8" i="79"/>
  <c r="D6" i="79"/>
  <c r="O6" i="15"/>
  <c r="O8" i="15" s="1"/>
  <c r="D8" i="15"/>
  <c r="AG15" i="45"/>
  <c r="C6" i="40"/>
  <c r="H6" i="40" s="1"/>
  <c r="D8" i="79" l="1"/>
  <c r="E11" i="79" s="1"/>
  <c r="G6" i="79"/>
  <c r="G8" i="79" s="1"/>
  <c r="G10" i="15"/>
  <c r="C6" i="39"/>
  <c r="G6" i="39" s="1"/>
  <c r="D22" i="23" l="1"/>
  <c r="F8" i="17" l="1"/>
  <c r="F8" i="39" l="1"/>
  <c r="C8" i="40"/>
  <c r="E8" i="39"/>
  <c r="D8" i="39"/>
  <c r="C8" i="39"/>
  <c r="G8" i="39"/>
  <c r="E12" i="24" l="1"/>
  <c r="E10" i="39"/>
  <c r="D8" i="40"/>
  <c r="E13" i="24" s="1"/>
  <c r="H8" i="40"/>
  <c r="E11" i="23"/>
  <c r="D10" i="23" l="1"/>
  <c r="I8" i="18"/>
  <c r="D29" i="23"/>
  <c r="E29" i="23" s="1"/>
  <c r="D25" i="23"/>
  <c r="E25" i="23" s="1"/>
  <c r="D26" i="23"/>
  <c r="E26" i="23" s="1"/>
  <c r="D27" i="23"/>
  <c r="E27" i="23" s="1"/>
  <c r="E22" i="23"/>
  <c r="D23" i="23"/>
  <c r="D20" i="23"/>
  <c r="D21" i="23"/>
  <c r="E21" i="23" s="1"/>
  <c r="M8" i="14"/>
  <c r="L8" i="14"/>
  <c r="D8" i="14"/>
  <c r="D7" i="23"/>
  <c r="C8" i="18"/>
  <c r="C8" i="17"/>
  <c r="D8" i="17"/>
  <c r="E6" i="24" s="1"/>
  <c r="C8" i="8"/>
  <c r="H8" i="8" s="1"/>
  <c r="D8" i="18" l="1"/>
  <c r="N6" i="18"/>
  <c r="E7" i="23"/>
  <c r="E10" i="23"/>
  <c r="E5" i="24"/>
  <c r="G8" i="18"/>
  <c r="E10" i="24" s="1"/>
  <c r="E23" i="23"/>
  <c r="E20" i="23"/>
  <c r="D24" i="23" l="1"/>
  <c r="E24" i="23" s="1"/>
  <c r="D8" i="23"/>
  <c r="F8" i="18"/>
  <c r="G10" i="18" s="1"/>
  <c r="E8" i="23" l="1"/>
  <c r="D14" i="23"/>
  <c r="D4" i="23"/>
  <c r="E4" i="23" l="1"/>
  <c r="E14" i="23"/>
  <c r="I8" i="57"/>
  <c r="N8" i="18"/>
  <c r="D18" i="23"/>
  <c r="E18" i="23" l="1"/>
  <c r="E30" i="23" s="1"/>
  <c r="N8" i="14"/>
  <c r="E15" i="66" s="1"/>
  <c r="D30" i="23"/>
  <c r="E18" i="66" l="1"/>
  <c r="C6" i="66" s="1"/>
  <c r="G6" i="66" s="1"/>
  <c r="F8" i="51"/>
  <c r="H6" i="17" l="1"/>
  <c r="E10" i="17"/>
  <c r="D6" i="23" s="1"/>
  <c r="G8" i="66"/>
  <c r="C8" i="66"/>
  <c r="E8" i="17"/>
  <c r="H8" i="17" l="1"/>
  <c r="E6" i="23"/>
  <c r="E8" i="57" l="1"/>
  <c r="C6" i="68" l="1"/>
  <c r="E10" i="68" l="1"/>
  <c r="D8" i="68"/>
  <c r="E8" i="24" s="1"/>
  <c r="E21" i="24" s="1"/>
  <c r="C8" i="68"/>
  <c r="G6" i="68"/>
  <c r="G8" i="68" s="1"/>
  <c r="E22" i="24" l="1"/>
  <c r="D7" i="80" s="1"/>
  <c r="C33" i="23"/>
  <c r="E33" i="23" s="1"/>
  <c r="E34" i="23" s="1"/>
  <c r="E6" i="72"/>
  <c r="H8" i="57"/>
  <c r="F7" i="80" l="1"/>
  <c r="F9" i="80" s="1"/>
  <c r="D9" i="80"/>
  <c r="D12" i="80" s="1"/>
  <c r="E8" i="72"/>
  <c r="K8" i="14"/>
  <c r="G5" i="72"/>
  <c r="D6" i="72" l="1"/>
  <c r="D8" i="72" l="1"/>
  <c r="G6" i="72"/>
  <c r="G8" i="72" s="1"/>
  <c r="E10" i="72"/>
  <c r="J8" i="14" l="1"/>
  <c r="I8" i="14"/>
  <c r="G6" i="51" l="1"/>
  <c r="F11" i="51" s="1"/>
  <c r="K10" i="14"/>
  <c r="D5" i="23" s="1"/>
  <c r="G8" i="51" l="1"/>
  <c r="E5" i="23"/>
  <c r="O8" i="14"/>
  <c r="D15" i="23"/>
  <c r="H8" i="51" l="1"/>
  <c r="E15" i="23"/>
  <c r="G6" i="47" l="1"/>
  <c r="D10" i="47"/>
  <c r="E8" i="47"/>
  <c r="F6" i="57" s="1"/>
  <c r="G8" i="47" l="1"/>
  <c r="F8" i="57"/>
  <c r="E10" i="57"/>
  <c r="J6" i="57"/>
  <c r="J8" i="57" l="1"/>
</calcChain>
</file>

<file path=xl/sharedStrings.xml><?xml version="1.0" encoding="utf-8"?>
<sst xmlns="http://schemas.openxmlformats.org/spreadsheetml/2006/main" count="665" uniqueCount="316">
  <si>
    <t>GAS ALLOCATION &amp; BALANCE VOLUME SPLIT</t>
  </si>
  <si>
    <t>Producers</t>
  </si>
  <si>
    <t>Total Prooduction</t>
  </si>
  <si>
    <t>Total Commitment</t>
  </si>
  <si>
    <t>Balance Volume</t>
  </si>
  <si>
    <t>Remark</t>
  </si>
  <si>
    <t>CNL</t>
  </si>
  <si>
    <t>NEPL/NDW</t>
  </si>
  <si>
    <t>NEPL (Oredo)</t>
  </si>
  <si>
    <t>NPDC/Neconde</t>
  </si>
  <si>
    <t>POOC</t>
  </si>
  <si>
    <t>Xenergi</t>
  </si>
  <si>
    <t>AHL</t>
  </si>
  <si>
    <t>PPL</t>
  </si>
  <si>
    <t>Chorus Energy</t>
  </si>
  <si>
    <t>SPDC</t>
  </si>
  <si>
    <t>Seplat</t>
  </si>
  <si>
    <t>TOTAL</t>
  </si>
  <si>
    <t>Power Customers</t>
  </si>
  <si>
    <t>Total Demand</t>
  </si>
  <si>
    <t>Demand Met</t>
  </si>
  <si>
    <t>Extra Supply</t>
  </si>
  <si>
    <t>Egbin</t>
  </si>
  <si>
    <t>Omotosho PP</t>
  </si>
  <si>
    <t>Pacific Energy</t>
  </si>
  <si>
    <t>Transcorp Power</t>
  </si>
  <si>
    <t>Geregu Power</t>
  </si>
  <si>
    <t>Sapele Power</t>
  </si>
  <si>
    <t>Azura Power</t>
  </si>
  <si>
    <t>NDPHC Ihovbor</t>
  </si>
  <si>
    <t>NDPHC Geregu</t>
  </si>
  <si>
    <t>NIL CONSUMPTION</t>
  </si>
  <si>
    <t>NDPHC Sapele</t>
  </si>
  <si>
    <t>NDPHC Omotosho</t>
  </si>
  <si>
    <t>NDPHC Olorunsogo</t>
  </si>
  <si>
    <t>Commercial Vol.</t>
  </si>
  <si>
    <t>Total Supply (MMscf)</t>
  </si>
  <si>
    <t>Total Demand (MMscf)</t>
  </si>
  <si>
    <t>Surplus Balance Volume (MMscf)</t>
  </si>
  <si>
    <t>NGMC</t>
  </si>
  <si>
    <t>NGMC Surplus</t>
  </si>
  <si>
    <t xml:space="preserve">NGML </t>
  </si>
  <si>
    <t>Gas Producer</t>
  </si>
  <si>
    <t>Nomination  (MMscfd)</t>
  </si>
  <si>
    <t>Allocation (MMscf)</t>
  </si>
  <si>
    <t>Actual Volume Allocation (MMscf)</t>
  </si>
  <si>
    <t>CNL Firm</t>
  </si>
  <si>
    <t>NPDC-NDW JV</t>
  </si>
  <si>
    <t>NPDC Oredo</t>
  </si>
  <si>
    <t>NPDC-Neconde JV</t>
  </si>
  <si>
    <t>Oceadeire Firm</t>
  </si>
  <si>
    <t>Oceadeire Supply to Gaslink</t>
  </si>
  <si>
    <t>Seplat Firm</t>
  </si>
  <si>
    <t>Seplat Interruptible</t>
  </si>
  <si>
    <t>AHL Firm</t>
  </si>
  <si>
    <t>PPL Firm</t>
  </si>
  <si>
    <t xml:space="preserve">Gashub </t>
  </si>
  <si>
    <t>Xenergi Firm</t>
  </si>
  <si>
    <t>MSN</t>
  </si>
  <si>
    <t>Tetracore</t>
  </si>
  <si>
    <t>PCC</t>
  </si>
  <si>
    <t>Asherxino</t>
  </si>
  <si>
    <t>Chorus</t>
  </si>
  <si>
    <t>Total Commercial</t>
  </si>
  <si>
    <t>Total NGMC Supply</t>
  </si>
  <si>
    <t>Summary of Attribution and Sourced Volumes</t>
  </si>
  <si>
    <t>Volume Invoices NGML (Less GEL)</t>
  </si>
  <si>
    <t>NGML's Supply to QSL</t>
  </si>
  <si>
    <t>Total Offtake by NGML</t>
  </si>
  <si>
    <t>NGML Offtake (MMscf)</t>
  </si>
  <si>
    <t xml:space="preserve">Total Purchase (MMscf) </t>
  </si>
  <si>
    <t>Balance (MMscf)</t>
  </si>
  <si>
    <t>Daily allocation</t>
  </si>
  <si>
    <t>No. Days in Month</t>
  </si>
  <si>
    <t>Nominal Allocation</t>
  </si>
  <si>
    <t xml:space="preserve">Monthly Actual </t>
  </si>
  <si>
    <t xml:space="preserve">Attribution </t>
  </si>
  <si>
    <t xml:space="preserve">Total Attribution </t>
  </si>
  <si>
    <t xml:space="preserve">NPDC UTOROGU </t>
  </si>
  <si>
    <t>Injection (MMscf)</t>
  </si>
  <si>
    <t xml:space="preserve">Edjeba (MMscf) </t>
  </si>
  <si>
    <t>N-Gas  (MMscf)</t>
  </si>
  <si>
    <t>SNG  (MMscf)</t>
  </si>
  <si>
    <t>NGML (MMscf)</t>
  </si>
  <si>
    <t>Egbin (MMscfd)</t>
  </si>
  <si>
    <t>DFL (MMscf)</t>
  </si>
  <si>
    <t>Omotosho (MMscf)</t>
  </si>
  <si>
    <t>Olorunsogo (MMscf)</t>
  </si>
  <si>
    <t>Transcorp (MMscf)</t>
  </si>
  <si>
    <t>Tetracore (MMscf)</t>
  </si>
  <si>
    <t>Unallocated Vol. (MMscf)</t>
  </si>
  <si>
    <t>Nomination</t>
  </si>
  <si>
    <t>Allocation Forecast</t>
  </si>
  <si>
    <t>Attribution</t>
  </si>
  <si>
    <t xml:space="preserve">CNL </t>
  </si>
  <si>
    <t>CNL Sales (MMscf)</t>
  </si>
  <si>
    <t xml:space="preserve">Egbin (MMscf) </t>
  </si>
  <si>
    <t>NGML
(MMscf)</t>
  </si>
  <si>
    <t xml:space="preserve">DFL (MMscf) </t>
  </si>
  <si>
    <t xml:space="preserve">Oceandaire (MMscf) </t>
  </si>
  <si>
    <t xml:space="preserve">Bhakor (MMscf) </t>
  </si>
  <si>
    <t xml:space="preserve">Tetracore
(MMscf) </t>
  </si>
  <si>
    <t>Gashub (MMScf)</t>
  </si>
  <si>
    <t>Raffles Energy (MMScf)</t>
  </si>
  <si>
    <t>MSN (MMScf)</t>
  </si>
  <si>
    <t>Transcorp (MMScf)</t>
  </si>
  <si>
    <t>NEPL Oredo</t>
  </si>
  <si>
    <t>Oredo Supply (MMscf)</t>
  </si>
  <si>
    <t xml:space="preserve">NGML (MMscf) </t>
  </si>
  <si>
    <t xml:space="preserve">DFL Firm (MMscf) </t>
  </si>
  <si>
    <t>Oceandaire (MMscf)</t>
  </si>
  <si>
    <t>MSN
(MMscf)</t>
  </si>
  <si>
    <t>Unallocated  Vol. (MMscf)</t>
  </si>
  <si>
    <t xml:space="preserve">NPDC Neconde </t>
  </si>
  <si>
    <t>Neconde Supply (MMscf)</t>
  </si>
  <si>
    <t xml:space="preserve">MSN
(MMscf) </t>
  </si>
  <si>
    <t>Customer 2</t>
  </si>
  <si>
    <t>Customer 3</t>
  </si>
  <si>
    <t>Pan Ocean</t>
  </si>
  <si>
    <t>POOC Injection
(MMscf)</t>
  </si>
  <si>
    <t xml:space="preserve">Paras
(MMscf) </t>
  </si>
  <si>
    <t>Oceandaire Firm
(MMscf)</t>
  </si>
  <si>
    <t>Geregu Power
(MMscf)</t>
  </si>
  <si>
    <t>Tetracore
(MMscf)</t>
  </si>
  <si>
    <t>Unallocated Vol.
(MMscf)</t>
  </si>
  <si>
    <t>Xenergi Deliveries (MMscf)</t>
  </si>
  <si>
    <t>NGML Firm (MMscf)</t>
  </si>
  <si>
    <t>Pacific</t>
  </si>
  <si>
    <t>Chorus Deliveries (MMscf)</t>
  </si>
  <si>
    <t>SPDC (Tunu)</t>
  </si>
  <si>
    <t>Tunu Deliveries (MMscf)</t>
  </si>
  <si>
    <t>SNG (MMscf)</t>
  </si>
  <si>
    <t>NDPHC (MMscf)</t>
  </si>
  <si>
    <t>AHL Deliveries (MMscf)</t>
  </si>
  <si>
    <t>BUA Cement (MMscf)</t>
  </si>
  <si>
    <t>Axxela</t>
  </si>
  <si>
    <t>Axxela Supply (MMscf)</t>
  </si>
  <si>
    <t>DCP Obajana Allocation (MMScf)</t>
  </si>
  <si>
    <t xml:space="preserve">PPL </t>
  </si>
  <si>
    <t>PPL Deliveries (MMscf)</t>
  </si>
  <si>
    <t xml:space="preserve">NGML Firm (MMscf) </t>
  </si>
  <si>
    <t xml:space="preserve">QSL/Youngxing
(MMscf) </t>
  </si>
  <si>
    <t>Tetracore (MMScf)</t>
  </si>
  <si>
    <t>Pacific (MMScf)</t>
  </si>
  <si>
    <t>SNG AGOT GAS DELIVERY ATTRIBUTION</t>
  </si>
  <si>
    <t>Total offtake by SNG (Scf)</t>
  </si>
  <si>
    <t xml:space="preserve">Daily Average (MMscfd) </t>
  </si>
  <si>
    <t>Days of Supply</t>
  </si>
  <si>
    <t xml:space="preserve">First Attribution </t>
  </si>
  <si>
    <t xml:space="preserve">Final Attribution </t>
  </si>
  <si>
    <t xml:space="preserve">Supplier </t>
  </si>
  <si>
    <t>Daily Nomination (MMscfd)</t>
  </si>
  <si>
    <t>Capped Attribution (MMscfd)</t>
  </si>
  <si>
    <t>Volumes Attributed (MMscfd)</t>
  </si>
  <si>
    <t xml:space="preserve">Capped Attribution (MMscfd) </t>
  </si>
  <si>
    <t>GASHUB</t>
  </si>
  <si>
    <t>NGML</t>
  </si>
  <si>
    <t>Total</t>
  </si>
  <si>
    <t xml:space="preserve">Unattributed Balance after first Attribution </t>
  </si>
  <si>
    <t>Volumes Attributed (scf)</t>
  </si>
  <si>
    <t>Total offtake by SNG</t>
  </si>
  <si>
    <t>NGIC to Bill</t>
  </si>
  <si>
    <t xml:space="preserve">SNG </t>
  </si>
  <si>
    <t>SEPLAT</t>
  </si>
  <si>
    <t>Seplat Injection (MMscf)</t>
  </si>
  <si>
    <t xml:space="preserve">Geregu (MMscf) </t>
  </si>
  <si>
    <t>Azura (MMscf)</t>
  </si>
  <si>
    <t xml:space="preserve">Sapele
(MMscf) </t>
  </si>
  <si>
    <t xml:space="preserve">Balance (MMscf) </t>
  </si>
  <si>
    <t xml:space="preserve"> MSN (MMScf)</t>
  </si>
  <si>
    <t>Axxela (MMScf)</t>
  </si>
  <si>
    <t>Asherxino (MMScf)</t>
  </si>
  <si>
    <t xml:space="preserve"> Transcorp (MMScf)</t>
  </si>
  <si>
    <t>Unallocated (MMscf)</t>
  </si>
  <si>
    <t xml:space="preserve">  </t>
  </si>
  <si>
    <t>Egbin Power</t>
  </si>
  <si>
    <t>Egbin Offtake (MMscf)</t>
  </si>
  <si>
    <t xml:space="preserve">CNL Supply (MMscf) </t>
  </si>
  <si>
    <t xml:space="preserve">OML-34 JV Supply (MMscf) </t>
  </si>
  <si>
    <t xml:space="preserve">Supply 3 (MMscf) </t>
  </si>
  <si>
    <t>Egbin Daily Offtake</t>
  </si>
  <si>
    <t xml:space="preserve">Production </t>
  </si>
  <si>
    <t>Average</t>
  </si>
  <si>
    <t>Average Total daily forecast</t>
  </si>
  <si>
    <t>Utorogu</t>
  </si>
  <si>
    <t>Check</t>
  </si>
  <si>
    <t>NDPHC</t>
  </si>
  <si>
    <t>NDPHC Offtake (MMscf)</t>
  </si>
  <si>
    <t xml:space="preserve">Tetracore Supply (MMscf) </t>
  </si>
  <si>
    <t xml:space="preserve">MSN Supply (MMscf) </t>
  </si>
  <si>
    <t xml:space="preserve">SPDC (MMscf) </t>
  </si>
  <si>
    <t>Plant</t>
  </si>
  <si>
    <t>Offtake (MMscf)</t>
  </si>
  <si>
    <t>Oceandaire</t>
  </si>
  <si>
    <t>Oceandaire Supply (MMscf)</t>
  </si>
  <si>
    <t xml:space="preserve">Customer 3 (MMscf) </t>
  </si>
  <si>
    <t>Oceandaire Purchase</t>
  </si>
  <si>
    <t>Producer</t>
  </si>
  <si>
    <t>Supply (MMscf)</t>
  </si>
  <si>
    <t>Gashub Supply (MMscf)</t>
  </si>
  <si>
    <t xml:space="preserve">SNG (MMscf) </t>
  </si>
  <si>
    <t xml:space="preserve">Supply 4 (MMscf) </t>
  </si>
  <si>
    <t>Transcorp Power Offtake (MMscf)</t>
  </si>
  <si>
    <t xml:space="preserve">SEPLAT Supply (MMscf) </t>
  </si>
  <si>
    <t>Tetracore Supply (MMscf)</t>
  </si>
  <si>
    <t xml:space="preserve">NDPHC (MMscf) </t>
  </si>
  <si>
    <t xml:space="preserve">Rongtai (MMscf) </t>
  </si>
  <si>
    <t>Tetracore Purchase</t>
  </si>
  <si>
    <t>NPDC JV</t>
  </si>
  <si>
    <t>QSL</t>
  </si>
  <si>
    <t>QSL Supply (MMscf)</t>
  </si>
  <si>
    <t xml:space="preserve">Youngxing Power (MMscf) </t>
  </si>
  <si>
    <t xml:space="preserve">Customer 2 (MMscf) </t>
  </si>
  <si>
    <t>QSL Purchase</t>
  </si>
  <si>
    <t>Platform</t>
  </si>
  <si>
    <t>PCC Supply (MMscf)</t>
  </si>
  <si>
    <t>PCC Purchase</t>
  </si>
  <si>
    <t xml:space="preserve">MSN </t>
  </si>
  <si>
    <t>MSN Supply (MMscf)</t>
  </si>
  <si>
    <t xml:space="preserve">NGML Interr. (MMscf) </t>
  </si>
  <si>
    <t xml:space="preserve">PCC (MMscf) </t>
  </si>
  <si>
    <t>Pacific Energy
(PEL)
(MMscf)</t>
  </si>
  <si>
    <t>Pacific Energy
(OEECL)
(MMscf)</t>
  </si>
  <si>
    <t>MSN Purchase</t>
  </si>
  <si>
    <t>Raffles</t>
  </si>
  <si>
    <t>Bhakor</t>
  </si>
  <si>
    <t xml:space="preserve">OML-34 JV Supply
(MMscf) </t>
  </si>
  <si>
    <t xml:space="preserve">POOC
(MMscf) </t>
  </si>
  <si>
    <t>PEL</t>
  </si>
  <si>
    <t>OEECL</t>
  </si>
  <si>
    <t>May -2023 Offtake</t>
  </si>
  <si>
    <t>DFL Gas Attribution</t>
  </si>
  <si>
    <t>DFL Offtake (MMscf)</t>
  </si>
  <si>
    <t xml:space="preserve">SPDC Supply (MMscf) </t>
  </si>
  <si>
    <t xml:space="preserve">NPDC Oredo Supply (MMscf) </t>
  </si>
  <si>
    <t>EASTERN GAS ALLOCATION</t>
  </si>
  <si>
    <t>Total Production</t>
  </si>
  <si>
    <t>Accugas</t>
  </si>
  <si>
    <t>HHOG</t>
  </si>
  <si>
    <t>NEOL</t>
  </si>
  <si>
    <t>TEPNG</t>
  </si>
  <si>
    <t>NEPL</t>
  </si>
  <si>
    <t>Notore</t>
  </si>
  <si>
    <t>TransAfam</t>
  </si>
  <si>
    <t>FIPL (Afam)</t>
  </si>
  <si>
    <t>FIPL (TA)</t>
  </si>
  <si>
    <t>FIPL (Eleme)</t>
  </si>
  <si>
    <t>CHGC</t>
  </si>
  <si>
    <t>NDPHC (Alaoji)</t>
  </si>
  <si>
    <t>Accugas Deliveries (MMscf)</t>
  </si>
  <si>
    <t>CHGC (MMscf)</t>
  </si>
  <si>
    <t>FIPL (MMscf)</t>
  </si>
  <si>
    <t>Notore (MMscf)</t>
  </si>
  <si>
    <t>Customer 4 (MMscf)</t>
  </si>
  <si>
    <t xml:space="preserve">HHOG </t>
  </si>
  <si>
    <t>HHOG Deliveries (MMscf)</t>
  </si>
  <si>
    <t>TransAfam (MMscf)</t>
  </si>
  <si>
    <t>Customer 3 (MMscf)</t>
  </si>
  <si>
    <t xml:space="preserve">NEOL </t>
  </si>
  <si>
    <t>NEOL Deliveries (MMscf)</t>
  </si>
  <si>
    <t xml:space="preserve">FIPL </t>
  </si>
  <si>
    <t>FIPL Offtake (MMscf)</t>
  </si>
  <si>
    <t xml:space="preserve">Accugas Supply (MMscf) </t>
  </si>
  <si>
    <t xml:space="preserve">NEOL (MMscf) </t>
  </si>
  <si>
    <t xml:space="preserve">Supplier 3 (MMscf) </t>
  </si>
  <si>
    <t>FIPL Purchase</t>
  </si>
  <si>
    <t>Notore Offtake (MMscf)</t>
  </si>
  <si>
    <t>Notore Purchase</t>
  </si>
  <si>
    <t>CHGC Offtake (MMscf)</t>
  </si>
  <si>
    <t xml:space="preserve">Supplier 2 (MMscf) </t>
  </si>
  <si>
    <t>CHGC Purchase</t>
  </si>
  <si>
    <t xml:space="preserve">HHOG Supply (MMscf) </t>
  </si>
  <si>
    <t>NGML Purchase</t>
  </si>
  <si>
    <t>TransAfam Offtake (MMscf)</t>
  </si>
  <si>
    <t>TransAfam Purchase</t>
  </si>
  <si>
    <t>21st  -27th  December 2023 Domestic Gas Delivery Obligation (DGDO) Performance</t>
  </si>
  <si>
    <t>S/N</t>
  </si>
  <si>
    <t>COMPANY</t>
  </si>
  <si>
    <t>WEEKLY DGDO (MMScf)</t>
  </si>
  <si>
    <t xml:space="preserve">WEEKLY GAS SUPPLY (MMScf) </t>
  </si>
  <si>
    <t>DGDO PERFORMANCE</t>
  </si>
  <si>
    <t xml:space="preserve">Chevron </t>
  </si>
  <si>
    <t xml:space="preserve">NAOC </t>
  </si>
  <si>
    <t>FOL</t>
  </si>
  <si>
    <t>NDPR</t>
  </si>
  <si>
    <t>ENERGIA</t>
  </si>
  <si>
    <t>EROTON</t>
  </si>
  <si>
    <t xml:space="preserve">NPDC </t>
  </si>
  <si>
    <t xml:space="preserve">POOC </t>
  </si>
  <si>
    <t>CHORUS ENERGY</t>
  </si>
  <si>
    <t>SEEPCO</t>
  </si>
  <si>
    <t>AITEO</t>
  </si>
  <si>
    <t>BELEMA OIL</t>
  </si>
  <si>
    <t>FIRST E &amp; P</t>
  </si>
  <si>
    <t>NEWCROSS</t>
  </si>
  <si>
    <t>ALL GRACE ENERGY</t>
  </si>
  <si>
    <t>MPNU</t>
  </si>
  <si>
    <t>BRITTANIA - U</t>
  </si>
  <si>
    <t>EXCEL</t>
  </si>
  <si>
    <t>GREEN ENERGY</t>
  </si>
  <si>
    <t>MIDWESTERN</t>
  </si>
  <si>
    <t>NETWORK</t>
  </si>
  <si>
    <t>ORIENTAL</t>
  </si>
  <si>
    <t>UNIVERSAL</t>
  </si>
  <si>
    <t>WALTERSMITH</t>
  </si>
  <si>
    <t>ENAGEED</t>
  </si>
  <si>
    <t>NEWCROSS PET</t>
  </si>
  <si>
    <t>ADDAX PENL</t>
  </si>
  <si>
    <t>STERLING GLOBAL OIL RES</t>
  </si>
  <si>
    <t>AMNI</t>
  </si>
  <si>
    <t>CONSOLIDATED</t>
  </si>
  <si>
    <t>CONTINENTAL</t>
  </si>
  <si>
    <t>DUBRI</t>
  </si>
  <si>
    <t>MONI PULO</t>
  </si>
  <si>
    <t xml:space="preserve">SUMMIT OIL </t>
  </si>
  <si>
    <t>TOTAL WEEKLY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</si>
</sst>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General_)"/>
    <numFmt numFmtId="167" formatCode="0.00000000"/>
    <numFmt numFmtId="168" formatCode="0.000"/>
    <numFmt numFmtId="169" formatCode="_(* #,##0.00_);_(* \(#,##0.00\);_(* &quot;-&quot;?????_);_(@_)"/>
    <numFmt numFmtId="170" formatCode="_(* #,##0.0000000_);_(* \(#,##0.0000000\);_(* &quot;-&quot;??_);_(@_)"/>
    <numFmt numFmtId="171" formatCode="_(* #,##0.0000_);_(* \(#,##0.0000\);_(* &quot;-&quot;??_);_(@_)"/>
    <numFmt numFmtId="172" formatCode="0.00000%"/>
  </numFmts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8"/>
      <name val="Calibri"/>
      <family val="2"/>
      <scheme val="minor"/>
    </font>
    <font>
      <sz val="11"/>
      <color theme="1"/>
      <name val="Montserrat"/>
    </font>
    <font>
      <b/>
      <u/>
      <sz val="11"/>
      <color theme="1"/>
      <name val="Montserrat"/>
    </font>
    <font>
      <b/>
      <sz val="11"/>
      <name val="Montserrat"/>
    </font>
    <font>
      <b/>
      <sz val="11"/>
      <color theme="1"/>
      <name val="Montserrat"/>
    </font>
    <font>
      <sz val="11"/>
      <name val="Montserrat"/>
    </font>
    <font>
      <sz val="10"/>
      <color theme="1"/>
      <name val="Montserrat"/>
    </font>
    <font>
      <b/>
      <sz val="10"/>
      <color theme="1"/>
      <name val="Montserrat"/>
    </font>
    <font>
      <sz val="10"/>
      <name val="Montserrat"/>
    </font>
    <font>
      <b/>
      <u val="double"/>
      <sz val="10"/>
      <color theme="1"/>
      <name val="Montserrat"/>
    </font>
    <font>
      <sz val="10"/>
      <color rgb="FFFF0000"/>
      <name val="Montserrat"/>
    </font>
    <font>
      <b/>
      <u val="doubleAccounting"/>
      <sz val="10"/>
      <color theme="1"/>
      <name val="Montserrat"/>
    </font>
    <font>
      <sz val="10"/>
      <color theme="2" tint="-9.9978637043366805E-2"/>
      <name val="Montserrat"/>
    </font>
    <font>
      <sz val="10"/>
      <color theme="0"/>
      <name val="Montserrat"/>
    </font>
    <font>
      <sz val="14"/>
      <color theme="1"/>
      <name val="Times New Roman"/>
      <family val="1"/>
    </font>
    <font>
      <sz val="11"/>
      <color theme="0"/>
      <name val="Montserrat"/>
    </font>
    <font>
      <sz val="12"/>
      <color rgb="FFFF0000"/>
      <name val="Montserrat"/>
    </font>
    <font>
      <sz val="11"/>
      <color rgb="FFFF0000"/>
      <name val="Montserrat"/>
    </font>
    <font>
      <b/>
      <sz val="10"/>
      <color rgb="FFFF0000"/>
      <name val="Montserrat"/>
    </font>
    <font>
      <b/>
      <sz val="12"/>
      <color rgb="FF000000"/>
      <name val="Century Gothic"/>
      <family val="2"/>
    </font>
    <font>
      <b/>
      <sz val="12"/>
      <color rgb="FF000000"/>
      <name val="Candara"/>
      <family val="2"/>
    </font>
    <font>
      <sz val="12"/>
      <color rgb="FF000000"/>
      <name val="Century Gothic"/>
      <family val="2"/>
    </font>
    <font>
      <sz val="12"/>
      <color rgb="FF000000"/>
      <name val="Candara"/>
      <family val="2"/>
    </font>
    <font>
      <b/>
      <sz val="11"/>
      <color rgb="FF000000"/>
      <name val="Trebuchet MS"/>
      <family val="2"/>
    </font>
    <font>
      <b/>
      <sz val="11"/>
      <color rgb="FF000000"/>
      <name val="Candar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/>
    </border>
    <border>
      <left/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/>
      <top style="medium">
        <color theme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theme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theme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/>
    </border>
    <border>
      <left/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/>
      <top style="thin">
        <color auto="1"/>
      </top>
      <bottom style="medium">
        <color theme="1"/>
      </bottom>
      <diagonal/>
    </border>
    <border>
      <left style="medium">
        <color theme="1"/>
      </left>
      <right style="thin">
        <color auto="1"/>
      </right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auto="1"/>
      </left>
      <right/>
      <top style="medium">
        <color theme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thin">
        <color auto="1"/>
      </bottom>
      <diagonal/>
    </border>
  </borders>
  <cellStyleXfs count="45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/>
    <xf numFmtId="166" fontId="2" fillId="0" borderId="0"/>
    <xf numFmtId="0" fontId="1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0" fontId="2" fillId="0" borderId="0"/>
    <xf numFmtId="166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5" fillId="0" borderId="0"/>
    <xf numFmtId="166" fontId="2" fillId="0" borderId="0"/>
    <xf numFmtId="0" fontId="5" fillId="0" borderId="0"/>
    <xf numFmtId="0" fontId="2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>
      <alignment vertical="center"/>
    </xf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0">
    <xf numFmtId="0" fontId="0" fillId="0" borderId="0" xfId="0"/>
    <xf numFmtId="0" fontId="8" fillId="0" borderId="0" xfId="0" applyFont="1"/>
    <xf numFmtId="0" fontId="9" fillId="0" borderId="0" xfId="0" applyFont="1" applyAlignment="1">
      <alignment horizontal="center"/>
    </xf>
    <xf numFmtId="0" fontId="10" fillId="3" borderId="14" xfId="0" applyFont="1" applyFill="1" applyBorder="1" applyAlignment="1">
      <alignment horizontal="left" vertical="center"/>
    </xf>
    <xf numFmtId="0" fontId="11" fillId="0" borderId="50" xfId="0" applyFont="1" applyBorder="1" applyAlignment="1">
      <alignment horizontal="center" vertical="center"/>
    </xf>
    <xf numFmtId="0" fontId="8" fillId="0" borderId="32" xfId="0" applyFont="1" applyBorder="1"/>
    <xf numFmtId="0" fontId="8" fillId="0" borderId="52" xfId="0" applyFont="1" applyBorder="1"/>
    <xf numFmtId="0" fontId="8" fillId="0" borderId="4" xfId="0" applyFont="1" applyBorder="1"/>
    <xf numFmtId="0" fontId="8" fillId="0" borderId="56" xfId="0" applyFont="1" applyBorder="1"/>
    <xf numFmtId="0" fontId="8" fillId="0" borderId="8" xfId="0" applyFont="1" applyBorder="1"/>
    <xf numFmtId="0" fontId="8" fillId="0" borderId="62" xfId="0" applyFont="1" applyBorder="1"/>
    <xf numFmtId="0" fontId="11" fillId="4" borderId="88" xfId="0" applyFont="1" applyFill="1" applyBorder="1"/>
    <xf numFmtId="0" fontId="8" fillId="4" borderId="91" xfId="0" applyFont="1" applyFill="1" applyBorder="1"/>
    <xf numFmtId="0" fontId="11" fillId="3" borderId="14" xfId="0" applyFont="1" applyFill="1" applyBorder="1"/>
    <xf numFmtId="0" fontId="11" fillId="0" borderId="54" xfId="0" applyFont="1" applyBorder="1" applyAlignment="1">
      <alignment horizontal="center"/>
    </xf>
    <xf numFmtId="0" fontId="8" fillId="5" borderId="87" xfId="0" applyFont="1" applyFill="1" applyBorder="1" applyAlignment="1">
      <alignment vertical="center"/>
    </xf>
    <xf numFmtId="0" fontId="8" fillId="5" borderId="56" xfId="0" applyFont="1" applyFill="1" applyBorder="1" applyAlignment="1">
      <alignment vertical="center"/>
    </xf>
    <xf numFmtId="43" fontId="8" fillId="0" borderId="0" xfId="0" applyNumberFormat="1" applyFont="1"/>
    <xf numFmtId="0" fontId="8" fillId="5" borderId="56" xfId="0" applyFont="1" applyFill="1" applyBorder="1" applyAlignment="1">
      <alignment vertical="center" wrapText="1"/>
    </xf>
    <xf numFmtId="2" fontId="8" fillId="0" borderId="0" xfId="0" applyNumberFormat="1" applyFont="1"/>
    <xf numFmtId="0" fontId="8" fillId="5" borderId="53" xfId="0" applyFont="1" applyFill="1" applyBorder="1" applyAlignment="1">
      <alignment vertical="center"/>
    </xf>
    <xf numFmtId="0" fontId="11" fillId="2" borderId="14" xfId="0" applyFont="1" applyFill="1" applyBorder="1"/>
    <xf numFmtId="0" fontId="8" fillId="0" borderId="55" xfId="0" applyFont="1" applyBorder="1"/>
    <xf numFmtId="0" fontId="10" fillId="3" borderId="14" xfId="0" applyFont="1" applyFill="1" applyBorder="1" applyAlignment="1">
      <alignment horizontal="left" vertical="center" wrapText="1"/>
    </xf>
    <xf numFmtId="0" fontId="8" fillId="0" borderId="1" xfId="0" applyFont="1" applyBorder="1"/>
    <xf numFmtId="0" fontId="8" fillId="0" borderId="37" xfId="0" applyFont="1" applyBorder="1"/>
    <xf numFmtId="164" fontId="8" fillId="0" borderId="0" xfId="0" applyNumberFormat="1" applyFont="1"/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4" fontId="8" fillId="0" borderId="6" xfId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64" fontId="11" fillId="2" borderId="19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11" fillId="0" borderId="0" xfId="1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center" wrapText="1"/>
    </xf>
    <xf numFmtId="164" fontId="11" fillId="0" borderId="19" xfId="0" applyNumberFormat="1" applyFont="1" applyBorder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9" fontId="13" fillId="0" borderId="0" xfId="0" applyNumberFormat="1" applyFont="1" applyAlignment="1">
      <alignment horizontal="center"/>
    </xf>
    <xf numFmtId="0" fontId="13" fillId="0" borderId="0" xfId="0" applyFont="1"/>
    <xf numFmtId="43" fontId="14" fillId="0" borderId="0" xfId="0" applyNumberFormat="1" applyFont="1"/>
    <xf numFmtId="0" fontId="13" fillId="3" borderId="57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164" fontId="14" fillId="3" borderId="10" xfId="1" applyFont="1" applyFill="1" applyBorder="1" applyAlignment="1">
      <alignment horizontal="center" vertical="center" wrapText="1"/>
    </xf>
    <xf numFmtId="0" fontId="14" fillId="3" borderId="10" xfId="1" applyNumberFormat="1" applyFont="1" applyFill="1" applyBorder="1" applyAlignment="1">
      <alignment horizontal="center" vertical="center" wrapText="1"/>
    </xf>
    <xf numFmtId="164" fontId="14" fillId="3" borderId="58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/>
    <xf numFmtId="0" fontId="15" fillId="0" borderId="5" xfId="0" applyFont="1" applyBorder="1"/>
    <xf numFmtId="164" fontId="15" fillId="0" borderId="5" xfId="1" applyFont="1" applyFill="1" applyBorder="1" applyAlignment="1">
      <alignment horizontal="center"/>
    </xf>
    <xf numFmtId="164" fontId="15" fillId="0" borderId="39" xfId="1" applyFont="1" applyFill="1" applyBorder="1" applyAlignment="1">
      <alignment horizontal="center"/>
    </xf>
    <xf numFmtId="164" fontId="15" fillId="0" borderId="6" xfId="1" applyFont="1" applyBorder="1" applyAlignment="1">
      <alignment horizontal="center"/>
    </xf>
    <xf numFmtId="165" fontId="15" fillId="0" borderId="5" xfId="1" applyNumberFormat="1" applyFont="1" applyFill="1" applyBorder="1" applyAlignment="1">
      <alignment horizontal="center"/>
    </xf>
    <xf numFmtId="164" fontId="13" fillId="0" borderId="0" xfId="0" applyNumberFormat="1" applyFont="1"/>
    <xf numFmtId="164" fontId="15" fillId="0" borderId="0" xfId="0" applyNumberFormat="1" applyFont="1"/>
    <xf numFmtId="0" fontId="15" fillId="0" borderId="39" xfId="0" applyFont="1" applyBorder="1"/>
    <xf numFmtId="0" fontId="15" fillId="0" borderId="6" xfId="0" applyFont="1" applyBorder="1"/>
    <xf numFmtId="0" fontId="14" fillId="4" borderId="7" xfId="0" applyFont="1" applyFill="1" applyBorder="1"/>
    <xf numFmtId="164" fontId="14" fillId="4" borderId="18" xfId="1" applyFont="1" applyFill="1" applyBorder="1"/>
    <xf numFmtId="2" fontId="14" fillId="4" borderId="18" xfId="1" applyNumberFormat="1" applyFont="1" applyFill="1" applyBorder="1"/>
    <xf numFmtId="164" fontId="14" fillId="4" borderId="19" xfId="1" applyFont="1" applyFill="1" applyBorder="1"/>
    <xf numFmtId="0" fontId="13" fillId="0" borderId="11" xfId="0" applyFont="1" applyBorder="1"/>
    <xf numFmtId="2" fontId="13" fillId="0" borderId="0" xfId="0" applyNumberFormat="1" applyFont="1"/>
    <xf numFmtId="0" fontId="13" fillId="0" borderId="33" xfId="0" applyFont="1" applyBorder="1"/>
    <xf numFmtId="43" fontId="13" fillId="0" borderId="0" xfId="0" applyNumberFormat="1" applyFont="1"/>
    <xf numFmtId="0" fontId="16" fillId="0" borderId="0" xfId="0" applyFont="1" applyAlignment="1">
      <alignment horizontal="center"/>
    </xf>
    <xf numFmtId="164" fontId="16" fillId="0" borderId="0" xfId="0" applyNumberFormat="1" applyFont="1"/>
    <xf numFmtId="2" fontId="16" fillId="0" borderId="0" xfId="1" applyNumberFormat="1" applyFont="1" applyBorder="1" applyAlignment="1"/>
    <xf numFmtId="0" fontId="13" fillId="0" borderId="34" xfId="0" applyFont="1" applyBorder="1"/>
    <xf numFmtId="0" fontId="13" fillId="0" borderId="43" xfId="0" applyFont="1" applyBorder="1"/>
    <xf numFmtId="0" fontId="13" fillId="0" borderId="20" xfId="0" applyFont="1" applyBorder="1"/>
    <xf numFmtId="0" fontId="13" fillId="0" borderId="44" xfId="0" applyFont="1" applyBorder="1"/>
    <xf numFmtId="0" fontId="13" fillId="0" borderId="0" xfId="1" applyNumberFormat="1" applyFont="1" applyBorder="1"/>
    <xf numFmtId="0" fontId="13" fillId="0" borderId="5" xfId="0" applyFont="1" applyBorder="1"/>
    <xf numFmtId="164" fontId="13" fillId="0" borderId="5" xfId="1" applyFont="1" applyBorder="1"/>
    <xf numFmtId="164" fontId="13" fillId="0" borderId="5" xfId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164" fontId="14" fillId="3" borderId="2" xfId="1" applyFont="1" applyFill="1" applyBorder="1" applyAlignment="1">
      <alignment horizontal="center" vertical="center" wrapText="1"/>
    </xf>
    <xf numFmtId="164" fontId="14" fillId="3" borderId="3" xfId="1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2" fontId="13" fillId="0" borderId="5" xfId="1" applyNumberFormat="1" applyFont="1" applyFill="1" applyBorder="1" applyAlignment="1">
      <alignment horizontal="right"/>
    </xf>
    <xf numFmtId="164" fontId="13" fillId="0" borderId="5" xfId="1" applyFont="1" applyFill="1" applyBorder="1"/>
    <xf numFmtId="164" fontId="13" fillId="0" borderId="5" xfId="1" applyFont="1" applyBorder="1" applyAlignment="1">
      <alignment horizontal="center"/>
    </xf>
    <xf numFmtId="0" fontId="13" fillId="0" borderId="6" xfId="0" applyFont="1" applyBorder="1"/>
    <xf numFmtId="165" fontId="13" fillId="0" borderId="5" xfId="1" applyNumberFormat="1" applyFont="1" applyBorder="1" applyAlignment="1">
      <alignment horizontal="center"/>
    </xf>
    <xf numFmtId="4" fontId="13" fillId="0" borderId="0" xfId="0" applyNumberFormat="1" applyFont="1"/>
    <xf numFmtId="0" fontId="13" fillId="0" borderId="39" xfId="0" applyFont="1" applyBorder="1"/>
    <xf numFmtId="164" fontId="14" fillId="4" borderId="40" xfId="1" applyFont="1" applyFill="1" applyBorder="1"/>
    <xf numFmtId="0" fontId="13" fillId="0" borderId="28" xfId="0" applyFont="1" applyBorder="1"/>
    <xf numFmtId="0" fontId="13" fillId="0" borderId="35" xfId="0" applyFont="1" applyBorder="1"/>
    <xf numFmtId="164" fontId="13" fillId="0" borderId="33" xfId="0" applyNumberFormat="1" applyFont="1" applyBorder="1"/>
    <xf numFmtId="164" fontId="13" fillId="0" borderId="0" xfId="0" applyNumberFormat="1" applyFont="1" applyAlignment="1">
      <alignment vertical="center" wrapText="1"/>
    </xf>
    <xf numFmtId="0" fontId="16" fillId="0" borderId="11" xfId="0" applyFont="1" applyBorder="1" applyAlignment="1">
      <alignment horizontal="center"/>
    </xf>
    <xf numFmtId="0" fontId="13" fillId="3" borderId="12" xfId="0" applyFont="1" applyFill="1" applyBorder="1" applyAlignment="1">
      <alignment horizontal="center" vertical="center" wrapText="1"/>
    </xf>
    <xf numFmtId="164" fontId="14" fillId="3" borderId="21" xfId="1" applyFont="1" applyFill="1" applyBorder="1" applyAlignment="1">
      <alignment horizontal="center" vertical="center" wrapText="1"/>
    </xf>
    <xf numFmtId="0" fontId="13" fillId="0" borderId="13" xfId="0" applyFont="1" applyBorder="1"/>
    <xf numFmtId="164" fontId="13" fillId="0" borderId="22" xfId="1" applyFont="1" applyBorder="1" applyAlignment="1">
      <alignment horizontal="center"/>
    </xf>
    <xf numFmtId="0" fontId="13" fillId="0" borderId="22" xfId="0" applyFont="1" applyBorder="1"/>
    <xf numFmtId="0" fontId="14" fillId="4" borderId="23" xfId="0" applyFont="1" applyFill="1" applyBorder="1"/>
    <xf numFmtId="43" fontId="14" fillId="4" borderId="18" xfId="0" applyNumberFormat="1" applyFont="1" applyFill="1" applyBorder="1"/>
    <xf numFmtId="164" fontId="14" fillId="4" borderId="24" xfId="1" applyFont="1" applyFill="1" applyBorder="1"/>
    <xf numFmtId="0" fontId="14" fillId="0" borderId="25" xfId="0" applyFont="1" applyBorder="1"/>
    <xf numFmtId="164" fontId="14" fillId="0" borderId="0" xfId="1" applyFont="1" applyFill="1" applyBorder="1"/>
    <xf numFmtId="2" fontId="14" fillId="0" borderId="0" xfId="0" applyNumberFormat="1" applyFont="1"/>
    <xf numFmtId="164" fontId="14" fillId="0" borderId="26" xfId="1" applyFont="1" applyFill="1" applyBorder="1"/>
    <xf numFmtId="164" fontId="16" fillId="0" borderId="0" xfId="1" applyFont="1" applyFill="1" applyBorder="1"/>
    <xf numFmtId="2" fontId="16" fillId="0" borderId="0" xfId="0" applyNumberFormat="1" applyFont="1"/>
    <xf numFmtId="0" fontId="16" fillId="0" borderId="25" xfId="0" applyFont="1" applyBorder="1" applyAlignment="1">
      <alignment horizontal="center"/>
    </xf>
    <xf numFmtId="0" fontId="13" fillId="0" borderId="29" xfId="0" applyFont="1" applyBorder="1" applyAlignment="1">
      <alignment horizontal="left" vertical="center"/>
    </xf>
    <xf numFmtId="0" fontId="13" fillId="0" borderId="27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164" fontId="15" fillId="0" borderId="5" xfId="0" applyNumberFormat="1" applyFont="1" applyBorder="1"/>
    <xf numFmtId="0" fontId="13" fillId="0" borderId="0" xfId="0" applyFont="1" applyAlignment="1">
      <alignment wrapText="1"/>
    </xf>
    <xf numFmtId="164" fontId="13" fillId="0" borderId="39" xfId="1" applyFont="1" applyBorder="1" applyAlignment="1">
      <alignment horizontal="center"/>
    </xf>
    <xf numFmtId="0" fontId="14" fillId="0" borderId="1" xfId="0" applyFont="1" applyBorder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7" xfId="0" applyFont="1" applyBorder="1"/>
    <xf numFmtId="164" fontId="14" fillId="5" borderId="19" xfId="0" applyNumberFormat="1" applyFont="1" applyFill="1" applyBorder="1"/>
    <xf numFmtId="164" fontId="13" fillId="0" borderId="0" xfId="1" applyFont="1"/>
    <xf numFmtId="164" fontId="13" fillId="0" borderId="0" xfId="0" applyNumberFormat="1" applyFont="1" applyAlignment="1">
      <alignment horizontal="center"/>
    </xf>
    <xf numFmtId="164" fontId="13" fillId="0" borderId="0" xfId="1" applyFont="1" applyAlignment="1">
      <alignment horizontal="center"/>
    </xf>
    <xf numFmtId="1" fontId="19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164" fontId="13" fillId="0" borderId="5" xfId="1" applyFont="1" applyFill="1" applyBorder="1" applyAlignment="1">
      <alignment horizontal="right"/>
    </xf>
    <xf numFmtId="0" fontId="13" fillId="5" borderId="0" xfId="0" applyFont="1" applyFill="1"/>
    <xf numFmtId="0" fontId="14" fillId="5" borderId="7" xfId="0" applyFont="1" applyFill="1" applyBorder="1"/>
    <xf numFmtId="164" fontId="15" fillId="0" borderId="5" xfId="1" applyFont="1" applyBorder="1" applyAlignment="1">
      <alignment horizontal="center"/>
    </xf>
    <xf numFmtId="3" fontId="13" fillId="0" borderId="0" xfId="0" applyNumberFormat="1" applyFont="1"/>
    <xf numFmtId="164" fontId="13" fillId="0" borderId="17" xfId="1" applyFont="1" applyBorder="1"/>
    <xf numFmtId="43" fontId="14" fillId="2" borderId="18" xfId="0" applyNumberFormat="1" applyFont="1" applyFill="1" applyBorder="1"/>
    <xf numFmtId="164" fontId="14" fillId="2" borderId="18" xfId="1" applyFont="1" applyFill="1" applyBorder="1"/>
    <xf numFmtId="164" fontId="14" fillId="5" borderId="0" xfId="0" applyNumberFormat="1" applyFont="1" applyFill="1"/>
    <xf numFmtId="2" fontId="16" fillId="5" borderId="0" xfId="0" applyNumberFormat="1" applyFont="1" applyFill="1"/>
    <xf numFmtId="164" fontId="13" fillId="0" borderId="5" xfId="0" applyNumberFormat="1" applyFont="1" applyBorder="1"/>
    <xf numFmtId="165" fontId="13" fillId="0" borderId="5" xfId="1" applyNumberFormat="1" applyFont="1" applyFill="1" applyBorder="1" applyAlignment="1">
      <alignment horizontal="center"/>
    </xf>
    <xf numFmtId="2" fontId="14" fillId="4" borderId="18" xfId="0" applyNumberFormat="1" applyFont="1" applyFill="1" applyBorder="1"/>
    <xf numFmtId="164" fontId="13" fillId="5" borderId="6" xfId="0" applyNumberFormat="1" applyFont="1" applyFill="1" applyBorder="1"/>
    <xf numFmtId="164" fontId="14" fillId="0" borderId="0" xfId="0" applyNumberFormat="1" applyFont="1"/>
    <xf numFmtId="167" fontId="8" fillId="0" borderId="0" xfId="0" applyNumberFormat="1" applyFont="1"/>
    <xf numFmtId="167" fontId="8" fillId="0" borderId="0" xfId="1" applyNumberFormat="1" applyFont="1" applyBorder="1"/>
    <xf numFmtId="167" fontId="10" fillId="3" borderId="36" xfId="0" applyNumberFormat="1" applyFont="1" applyFill="1" applyBorder="1" applyAlignment="1">
      <alignment horizontal="center" vertical="center"/>
    </xf>
    <xf numFmtId="167" fontId="11" fillId="3" borderId="36" xfId="0" applyNumberFormat="1" applyFont="1" applyFill="1" applyBorder="1"/>
    <xf numFmtId="167" fontId="10" fillId="3" borderId="16" xfId="0" applyNumberFormat="1" applyFont="1" applyFill="1" applyBorder="1" applyAlignment="1">
      <alignment horizontal="center" vertical="center" wrapText="1"/>
    </xf>
    <xf numFmtId="168" fontId="13" fillId="0" borderId="0" xfId="0" applyNumberFormat="1" applyFont="1" applyAlignment="1">
      <alignment horizontal="center"/>
    </xf>
    <xf numFmtId="168" fontId="13" fillId="0" borderId="5" xfId="0" applyNumberFormat="1" applyFont="1" applyBorder="1"/>
    <xf numFmtId="168" fontId="14" fillId="4" borderId="18" xfId="0" applyNumberFormat="1" applyFont="1" applyFill="1" applyBorder="1"/>
    <xf numFmtId="168" fontId="13" fillId="0" borderId="0" xfId="0" applyNumberFormat="1" applyFont="1"/>
    <xf numFmtId="164" fontId="8" fillId="0" borderId="39" xfId="1" applyFont="1" applyBorder="1"/>
    <xf numFmtId="164" fontId="8" fillId="0" borderId="41" xfId="1" applyFont="1" applyBorder="1"/>
    <xf numFmtId="164" fontId="11" fillId="4" borderId="90" xfId="1" applyFont="1" applyFill="1" applyBorder="1"/>
    <xf numFmtId="164" fontId="8" fillId="0" borderId="42" xfId="1" applyFont="1" applyBorder="1"/>
    <xf numFmtId="164" fontId="8" fillId="0" borderId="39" xfId="1" applyFont="1" applyFill="1" applyBorder="1"/>
    <xf numFmtId="164" fontId="11" fillId="2" borderId="36" xfId="1" applyFont="1" applyFill="1" applyBorder="1"/>
    <xf numFmtId="164" fontId="8" fillId="0" borderId="3" xfId="1" applyFont="1" applyBorder="1"/>
    <xf numFmtId="164" fontId="8" fillId="0" borderId="51" xfId="1" applyFont="1" applyBorder="1"/>
    <xf numFmtId="164" fontId="13" fillId="5" borderId="0" xfId="0" applyNumberFormat="1" applyFont="1" applyFill="1"/>
    <xf numFmtId="1" fontId="8" fillId="2" borderId="18" xfId="0" applyNumberFormat="1" applyFont="1" applyFill="1" applyBorder="1" applyAlignment="1">
      <alignment horizontal="center" vertical="center" wrapText="1"/>
    </xf>
    <xf numFmtId="2" fontId="13" fillId="0" borderId="5" xfId="0" applyNumberFormat="1" applyFont="1" applyBorder="1"/>
    <xf numFmtId="2" fontId="13" fillId="0" borderId="5" xfId="1" applyNumberFormat="1" applyFont="1" applyBorder="1"/>
    <xf numFmtId="2" fontId="13" fillId="0" borderId="0" xfId="0" applyNumberFormat="1" applyFont="1" applyAlignment="1">
      <alignment wrapText="1"/>
    </xf>
    <xf numFmtId="2" fontId="19" fillId="0" borderId="0" xfId="0" applyNumberFormat="1" applyFont="1" applyAlignment="1">
      <alignment horizontal="center"/>
    </xf>
    <xf numFmtId="169" fontId="13" fillId="0" borderId="0" xfId="0" applyNumberFormat="1" applyFont="1"/>
    <xf numFmtId="0" fontId="21" fillId="0" borderId="0" xfId="0" applyFont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6" fillId="5" borderId="0" xfId="0" applyFont="1" applyFill="1" applyAlignment="1">
      <alignment horizontal="center"/>
    </xf>
    <xf numFmtId="1" fontId="13" fillId="0" borderId="0" xfId="0" applyNumberFormat="1" applyFont="1"/>
    <xf numFmtId="3" fontId="8" fillId="0" borderId="0" xfId="0" applyNumberFormat="1" applyFont="1"/>
    <xf numFmtId="0" fontId="13" fillId="3" borderId="93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164" fontId="14" fillId="3" borderId="17" xfId="1" applyFont="1" applyFill="1" applyBorder="1" applyAlignment="1">
      <alignment horizontal="center" vertical="center" wrapText="1"/>
    </xf>
    <xf numFmtId="164" fontId="14" fillId="3" borderId="94" xfId="1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164" fontId="14" fillId="3" borderId="63" xfId="1" applyFont="1" applyFill="1" applyBorder="1" applyAlignment="1">
      <alignment horizontal="center" vertical="center" wrapText="1"/>
    </xf>
    <xf numFmtId="164" fontId="13" fillId="0" borderId="6" xfId="1" applyFont="1" applyBorder="1" applyAlignment="1">
      <alignment horizontal="center"/>
    </xf>
    <xf numFmtId="0" fontId="14" fillId="2" borderId="7" xfId="0" applyFont="1" applyFill="1" applyBorder="1"/>
    <xf numFmtId="164" fontId="14" fillId="2" borderId="19" xfId="1" applyFont="1" applyFill="1" applyBorder="1"/>
    <xf numFmtId="0" fontId="16" fillId="5" borderId="11" xfId="0" applyFont="1" applyFill="1" applyBorder="1" applyAlignment="1">
      <alignment horizontal="center"/>
    </xf>
    <xf numFmtId="0" fontId="13" fillId="0" borderId="43" xfId="0" applyFont="1" applyBorder="1" applyAlignment="1">
      <alignment horizontal="center" vertical="center" wrapText="1"/>
    </xf>
    <xf numFmtId="164" fontId="14" fillId="3" borderId="42" xfId="1" applyFont="1" applyFill="1" applyBorder="1" applyAlignment="1">
      <alignment horizontal="center" vertical="center" wrapText="1"/>
    </xf>
    <xf numFmtId="0" fontId="16" fillId="5" borderId="0" xfId="0" applyFont="1" applyFill="1"/>
    <xf numFmtId="164" fontId="16" fillId="5" borderId="0" xfId="0" applyNumberFormat="1" applyFont="1" applyFill="1"/>
    <xf numFmtId="164" fontId="14" fillId="0" borderId="6" xfId="1" applyFont="1" applyBorder="1" applyAlignment="1">
      <alignment horizontal="center"/>
    </xf>
    <xf numFmtId="170" fontId="13" fillId="0" borderId="0" xfId="0" applyNumberFormat="1" applyFont="1"/>
    <xf numFmtId="0" fontId="14" fillId="5" borderId="25" xfId="0" applyFont="1" applyFill="1" applyBorder="1"/>
    <xf numFmtId="43" fontId="14" fillId="5" borderId="0" xfId="0" applyNumberFormat="1" applyFont="1" applyFill="1"/>
    <xf numFmtId="164" fontId="14" fillId="5" borderId="0" xfId="1" applyFont="1" applyFill="1" applyBorder="1"/>
    <xf numFmtId="2" fontId="14" fillId="5" borderId="0" xfId="0" applyNumberFormat="1" applyFont="1" applyFill="1"/>
    <xf numFmtId="164" fontId="14" fillId="5" borderId="26" xfId="1" applyFont="1" applyFill="1" applyBorder="1"/>
    <xf numFmtId="0" fontId="16" fillId="5" borderId="25" xfId="0" applyFont="1" applyFill="1" applyBorder="1" applyAlignment="1">
      <alignment horizontal="center"/>
    </xf>
    <xf numFmtId="164" fontId="16" fillId="5" borderId="0" xfId="1" applyFont="1" applyFill="1" applyBorder="1"/>
    <xf numFmtId="0" fontId="13" fillId="5" borderId="29" xfId="0" applyFont="1" applyFill="1" applyBorder="1" applyAlignment="1">
      <alignment horizontal="left" vertical="center"/>
    </xf>
    <xf numFmtId="0" fontId="13" fillId="5" borderId="27" xfId="0" applyFont="1" applyFill="1" applyBorder="1" applyAlignment="1">
      <alignment vertical="center" wrapText="1"/>
    </xf>
    <xf numFmtId="0" fontId="13" fillId="5" borderId="30" xfId="0" applyFont="1" applyFill="1" applyBorder="1" applyAlignment="1">
      <alignment vertical="center" wrapText="1"/>
    </xf>
    <xf numFmtId="0" fontId="14" fillId="5" borderId="11" xfId="0" applyFont="1" applyFill="1" applyBorder="1"/>
    <xf numFmtId="164" fontId="14" fillId="5" borderId="33" xfId="1" applyFont="1" applyFill="1" applyBorder="1"/>
    <xf numFmtId="0" fontId="13" fillId="5" borderId="0" xfId="0" applyFont="1" applyFill="1" applyAlignment="1">
      <alignment horizontal="left"/>
    </xf>
    <xf numFmtId="0" fontId="13" fillId="5" borderId="43" xfId="0" applyFont="1" applyFill="1" applyBorder="1" applyAlignment="1">
      <alignment horizontal="left" vertical="center"/>
    </xf>
    <xf numFmtId="0" fontId="13" fillId="5" borderId="20" xfId="0" applyFont="1" applyFill="1" applyBorder="1" applyAlignment="1">
      <alignment vertical="center" wrapText="1"/>
    </xf>
    <xf numFmtId="0" fontId="13" fillId="5" borderId="44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/>
    </xf>
    <xf numFmtId="0" fontId="14" fillId="5" borderId="3" xfId="0" applyFont="1" applyFill="1" applyBorder="1" applyAlignment="1">
      <alignment vertical="center" wrapText="1"/>
    </xf>
    <xf numFmtId="0" fontId="13" fillId="5" borderId="4" xfId="0" applyFont="1" applyFill="1" applyBorder="1"/>
    <xf numFmtId="164" fontId="13" fillId="0" borderId="28" xfId="0" applyNumberFormat="1" applyFont="1" applyBorder="1"/>
    <xf numFmtId="0" fontId="14" fillId="5" borderId="3" xfId="0" applyFont="1" applyFill="1" applyBorder="1" applyAlignment="1">
      <alignment horizontal="center" vertical="center" wrapText="1"/>
    </xf>
    <xf numFmtId="164" fontId="20" fillId="6" borderId="0" xfId="0" applyNumberFormat="1" applyFont="1" applyFill="1"/>
    <xf numFmtId="0" fontId="20" fillId="6" borderId="0" xfId="0" applyFont="1" applyFill="1"/>
    <xf numFmtId="43" fontId="20" fillId="6" borderId="0" xfId="0" applyNumberFormat="1" applyFont="1" applyFill="1"/>
    <xf numFmtId="164" fontId="13" fillId="5" borderId="61" xfId="0" applyNumberFormat="1" applyFont="1" applyFill="1" applyBorder="1"/>
    <xf numFmtId="164" fontId="8" fillId="0" borderId="97" xfId="1" applyFont="1" applyFill="1" applyBorder="1"/>
    <xf numFmtId="0" fontId="14" fillId="0" borderId="11" xfId="0" applyFont="1" applyBorder="1"/>
    <xf numFmtId="164" fontId="14" fillId="0" borderId="33" xfId="1" applyFont="1" applyFill="1" applyBorder="1"/>
    <xf numFmtId="0" fontId="13" fillId="0" borderId="43" xfId="0" applyFont="1" applyBorder="1" applyAlignment="1">
      <alignment horizontal="left" vertical="center"/>
    </xf>
    <xf numFmtId="0" fontId="13" fillId="0" borderId="20" xfId="0" applyFont="1" applyBorder="1" applyAlignment="1">
      <alignment vertical="center" wrapText="1"/>
    </xf>
    <xf numFmtId="0" fontId="13" fillId="0" borderId="44" xfId="0" applyFont="1" applyBorder="1" applyAlignment="1">
      <alignment vertical="center" wrapText="1"/>
    </xf>
    <xf numFmtId="164" fontId="16" fillId="5" borderId="0" xfId="1" applyFont="1" applyFill="1" applyBorder="1" applyAlignment="1">
      <alignment horizontal="center"/>
    </xf>
    <xf numFmtId="0" fontId="14" fillId="5" borderId="0" xfId="0" applyFont="1" applyFill="1" applyAlignment="1">
      <alignment horizontal="center" vertical="center" wrapText="1"/>
    </xf>
    <xf numFmtId="164" fontId="22" fillId="0" borderId="0" xfId="1" applyFont="1" applyFill="1"/>
    <xf numFmtId="164" fontId="22" fillId="0" borderId="0" xfId="0" applyNumberFormat="1" applyFont="1"/>
    <xf numFmtId="0" fontId="22" fillId="0" borderId="0" xfId="0" applyFont="1"/>
    <xf numFmtId="164" fontId="13" fillId="5" borderId="33" xfId="0" applyNumberFormat="1" applyFont="1" applyFill="1" applyBorder="1"/>
    <xf numFmtId="0" fontId="8" fillId="0" borderId="67" xfId="0" applyFont="1" applyBorder="1"/>
    <xf numFmtId="164" fontId="8" fillId="0" borderId="68" xfId="0" applyNumberFormat="1" applyFont="1" applyBorder="1"/>
    <xf numFmtId="0" fontId="8" fillId="0" borderId="65" xfId="0" applyFont="1" applyBorder="1"/>
    <xf numFmtId="164" fontId="8" fillId="0" borderId="70" xfId="1" applyFont="1" applyBorder="1"/>
    <xf numFmtId="0" fontId="8" fillId="0" borderId="48" xfId="0" applyFont="1" applyBorder="1"/>
    <xf numFmtId="0" fontId="8" fillId="0" borderId="5" xfId="0" applyFont="1" applyBorder="1"/>
    <xf numFmtId="0" fontId="8" fillId="0" borderId="39" xfId="0" applyFont="1" applyBorder="1"/>
    <xf numFmtId="0" fontId="8" fillId="0" borderId="70" xfId="0" applyFont="1" applyBorder="1"/>
    <xf numFmtId="0" fontId="11" fillId="0" borderId="73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2" fontId="8" fillId="0" borderId="47" xfId="0" applyNumberFormat="1" applyFont="1" applyBorder="1" applyAlignment="1">
      <alignment horizontal="center" vertical="center"/>
    </xf>
    <xf numFmtId="164" fontId="8" fillId="0" borderId="5" xfId="1" applyFont="1" applyBorder="1" applyAlignment="1">
      <alignment horizontal="center" vertical="center"/>
    </xf>
    <xf numFmtId="164" fontId="8" fillId="0" borderId="39" xfId="1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164" fontId="8" fillId="0" borderId="70" xfId="0" applyNumberFormat="1" applyFont="1" applyBorder="1" applyAlignment="1">
      <alignment horizontal="center" vertical="center"/>
    </xf>
    <xf numFmtId="0" fontId="8" fillId="0" borderId="77" xfId="0" applyFont="1" applyBorder="1"/>
    <xf numFmtId="164" fontId="8" fillId="0" borderId="78" xfId="0" applyNumberFormat="1" applyFont="1" applyBorder="1"/>
    <xf numFmtId="164" fontId="8" fillId="0" borderId="79" xfId="0" applyNumberFormat="1" applyFont="1" applyBorder="1"/>
    <xf numFmtId="164" fontId="8" fillId="0" borderId="76" xfId="0" applyNumberFormat="1" applyFont="1" applyBorder="1"/>
    <xf numFmtId="0" fontId="8" fillId="0" borderId="80" xfId="0" applyFont="1" applyBorder="1"/>
    <xf numFmtId="0" fontId="8" fillId="0" borderId="31" xfId="0" applyFont="1" applyBorder="1"/>
    <xf numFmtId="164" fontId="8" fillId="0" borderId="81" xfId="0" applyNumberFormat="1" applyFont="1" applyBorder="1"/>
    <xf numFmtId="0" fontId="11" fillId="4" borderId="82" xfId="0" applyFont="1" applyFill="1" applyBorder="1" applyAlignment="1">
      <alignment horizontal="left" vertical="center"/>
    </xf>
    <xf numFmtId="0" fontId="11" fillId="4" borderId="21" xfId="0" applyFont="1" applyFill="1" applyBorder="1" applyAlignment="1">
      <alignment horizontal="left" vertical="center" wrapText="1"/>
    </xf>
    <xf numFmtId="0" fontId="8" fillId="4" borderId="69" xfId="0" applyFont="1" applyFill="1" applyBorder="1"/>
    <xf numFmtId="164" fontId="8" fillId="4" borderId="22" xfId="0" applyNumberFormat="1" applyFont="1" applyFill="1" applyBorder="1"/>
    <xf numFmtId="164" fontId="8" fillId="0" borderId="0" xfId="1" applyFont="1" applyBorder="1"/>
    <xf numFmtId="0" fontId="11" fillId="4" borderId="75" xfId="0" applyFont="1" applyFill="1" applyBorder="1"/>
    <xf numFmtId="164" fontId="11" fillId="4" borderId="83" xfId="0" applyNumberFormat="1" applyFont="1" applyFill="1" applyBorder="1"/>
    <xf numFmtId="0" fontId="8" fillId="0" borderId="84" xfId="0" applyFont="1" applyBorder="1"/>
    <xf numFmtId="0" fontId="8" fillId="0" borderId="85" xfId="0" applyFont="1" applyBorder="1"/>
    <xf numFmtId="4" fontId="11" fillId="0" borderId="3" xfId="0" applyNumberFormat="1" applyFont="1" applyBorder="1"/>
    <xf numFmtId="0" fontId="8" fillId="0" borderId="4" xfId="0" applyFont="1" applyBorder="1" applyAlignment="1">
      <alignment wrapText="1"/>
    </xf>
    <xf numFmtId="164" fontId="8" fillId="0" borderId="6" xfId="1" applyFont="1" applyBorder="1"/>
    <xf numFmtId="164" fontId="8" fillId="0" borderId="4" xfId="1" applyFont="1" applyBorder="1"/>
    <xf numFmtId="0" fontId="8" fillId="0" borderId="61" xfId="0" applyFont="1" applyBorder="1"/>
    <xf numFmtId="0" fontId="11" fillId="0" borderId="98" xfId="0" applyFont="1" applyBorder="1"/>
    <xf numFmtId="0" fontId="11" fillId="0" borderId="99" xfId="0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/>
    </xf>
    <xf numFmtId="0" fontId="8" fillId="0" borderId="7" xfId="0" applyFont="1" applyBorder="1"/>
    <xf numFmtId="0" fontId="8" fillId="0" borderId="19" xfId="0" applyFont="1" applyBorder="1"/>
    <xf numFmtId="171" fontId="8" fillId="0" borderId="0" xfId="0" applyNumberFormat="1" applyFont="1" applyAlignment="1">
      <alignment horizontal="center"/>
    </xf>
    <xf numFmtId="171" fontId="10" fillId="3" borderId="15" xfId="0" applyNumberFormat="1" applyFont="1" applyFill="1" applyBorder="1" applyAlignment="1">
      <alignment horizontal="center" vertical="center" wrapText="1"/>
    </xf>
    <xf numFmtId="171" fontId="11" fillId="3" borderId="15" xfId="0" applyNumberFormat="1" applyFont="1" applyFill="1" applyBorder="1" applyAlignment="1">
      <alignment horizontal="center"/>
    </xf>
    <xf numFmtId="171" fontId="8" fillId="0" borderId="0" xfId="0" applyNumberFormat="1" applyFont="1"/>
    <xf numFmtId="171" fontId="11" fillId="3" borderId="15" xfId="0" applyNumberFormat="1" applyFont="1" applyFill="1" applyBorder="1"/>
    <xf numFmtId="171" fontId="8" fillId="0" borderId="0" xfId="1" applyNumberFormat="1" applyFont="1" applyBorder="1"/>
    <xf numFmtId="164" fontId="8" fillId="0" borderId="17" xfId="1" applyFont="1" applyFill="1" applyBorder="1" applyAlignment="1">
      <alignment horizontal="center"/>
    </xf>
    <xf numFmtId="164" fontId="12" fillId="0" borderId="17" xfId="1" applyFont="1" applyBorder="1"/>
    <xf numFmtId="164" fontId="8" fillId="0" borderId="5" xfId="1" applyFont="1" applyFill="1" applyBorder="1" applyAlignment="1">
      <alignment horizontal="center"/>
    </xf>
    <xf numFmtId="164" fontId="8" fillId="0" borderId="17" xfId="1" applyFont="1" applyBorder="1"/>
    <xf numFmtId="164" fontId="12" fillId="0" borderId="18" xfId="1" applyFont="1" applyBorder="1"/>
    <xf numFmtId="164" fontId="12" fillId="0" borderId="5" xfId="1" applyFont="1" applyBorder="1"/>
    <xf numFmtId="164" fontId="12" fillId="0" borderId="9" xfId="1" applyFont="1" applyBorder="1"/>
    <xf numFmtId="164" fontId="8" fillId="0" borderId="9" xfId="1" applyFont="1" applyBorder="1"/>
    <xf numFmtId="164" fontId="11" fillId="4" borderId="89" xfId="1" applyFont="1" applyFill="1" applyBorder="1"/>
    <xf numFmtId="164" fontId="12" fillId="0" borderId="2" xfId="1" applyFont="1" applyBorder="1" applyAlignment="1">
      <alignment horizontal="center"/>
    </xf>
    <xf numFmtId="164" fontId="8" fillId="0" borderId="2" xfId="1" applyFont="1" applyBorder="1"/>
    <xf numFmtId="164" fontId="8" fillId="0" borderId="45" xfId="1" applyFont="1" applyBorder="1" applyAlignment="1">
      <alignment horizontal="center"/>
    </xf>
    <xf numFmtId="164" fontId="8" fillId="0" borderId="45" xfId="1" applyFont="1" applyBorder="1"/>
    <xf numFmtId="164" fontId="11" fillId="2" borderId="15" xfId="1" applyFont="1" applyFill="1" applyBorder="1" applyAlignment="1">
      <alignment horizontal="center"/>
    </xf>
    <xf numFmtId="164" fontId="11" fillId="2" borderId="15" xfId="1" applyFont="1" applyFill="1" applyBorder="1"/>
    <xf numFmtId="164" fontId="11" fillId="4" borderId="89" xfId="1" applyFont="1" applyFill="1" applyBorder="1" applyAlignment="1">
      <alignment horizontal="center"/>
    </xf>
    <xf numFmtId="9" fontId="8" fillId="0" borderId="0" xfId="44" applyFont="1"/>
    <xf numFmtId="172" fontId="8" fillId="0" borderId="0" xfId="44" applyNumberFormat="1" applyFont="1"/>
    <xf numFmtId="0" fontId="15" fillId="0" borderId="0" xfId="0" applyFont="1" applyAlignment="1">
      <alignment horizontal="center"/>
    </xf>
    <xf numFmtId="0" fontId="8" fillId="5" borderId="52" xfId="0" applyFont="1" applyFill="1" applyBorder="1" applyAlignment="1">
      <alignment vertical="center"/>
    </xf>
    <xf numFmtId="0" fontId="13" fillId="0" borderId="0" xfId="0" applyFont="1" applyAlignment="1">
      <alignment vertical="center" wrapText="1"/>
    </xf>
    <xf numFmtId="168" fontId="14" fillId="3" borderId="2" xfId="0" applyNumberFormat="1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/>
    </xf>
    <xf numFmtId="9" fontId="13" fillId="5" borderId="0" xfId="0" applyNumberFormat="1" applyFont="1" applyFill="1" applyAlignment="1">
      <alignment horizontal="center"/>
    </xf>
    <xf numFmtId="0" fontId="13" fillId="5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wrapText="1"/>
    </xf>
    <xf numFmtId="164" fontId="23" fillId="0" borderId="3" xfId="1" applyFont="1" applyBorder="1"/>
    <xf numFmtId="164" fontId="24" fillId="0" borderId="9" xfId="1" applyFont="1" applyFill="1" applyBorder="1" applyAlignment="1">
      <alignment horizontal="center"/>
    </xf>
    <xf numFmtId="164" fontId="8" fillId="0" borderId="66" xfId="0" applyNumberFormat="1" applyFont="1" applyBorder="1"/>
    <xf numFmtId="165" fontId="13" fillId="0" borderId="39" xfId="1" applyNumberFormat="1" applyFont="1" applyBorder="1" applyAlignment="1">
      <alignment horizontal="center"/>
    </xf>
    <xf numFmtId="0" fontId="14" fillId="0" borderId="0" xfId="0" applyFont="1" applyAlignment="1">
      <alignment vertical="center"/>
    </xf>
    <xf numFmtId="168" fontId="14" fillId="5" borderId="0" xfId="0" applyNumberFormat="1" applyFont="1" applyFill="1"/>
    <xf numFmtId="2" fontId="14" fillId="5" borderId="33" xfId="0" applyNumberFormat="1" applyFont="1" applyFill="1" applyBorder="1"/>
    <xf numFmtId="2" fontId="16" fillId="5" borderId="33" xfId="0" applyNumberFormat="1" applyFont="1" applyFill="1" applyBorder="1"/>
    <xf numFmtId="4" fontId="16" fillId="5" borderId="0" xfId="0" applyNumberFormat="1" applyFont="1" applyFill="1" applyAlignment="1">
      <alignment horizontal="center"/>
    </xf>
    <xf numFmtId="168" fontId="13" fillId="5" borderId="20" xfId="0" applyNumberFormat="1" applyFont="1" applyFill="1" applyBorder="1" applyAlignment="1">
      <alignment vertical="center" wrapText="1"/>
    </xf>
    <xf numFmtId="168" fontId="14" fillId="3" borderId="17" xfId="0" applyNumberFormat="1" applyFont="1" applyFill="1" applyBorder="1" applyAlignment="1">
      <alignment horizontal="center" vertical="center" wrapText="1"/>
    </xf>
    <xf numFmtId="165" fontId="15" fillId="0" borderId="5" xfId="1" applyNumberFormat="1" applyFont="1" applyBorder="1" applyAlignment="1">
      <alignment horizontal="center"/>
    </xf>
    <xf numFmtId="168" fontId="13" fillId="5" borderId="27" xfId="0" applyNumberFormat="1" applyFont="1" applyFill="1" applyBorder="1" applyAlignment="1">
      <alignment vertical="center" wrapText="1"/>
    </xf>
    <xf numFmtId="164" fontId="8" fillId="0" borderId="0" xfId="0" applyNumberFormat="1" applyFont="1" applyAlignment="1">
      <alignment horizontal="center" vertical="center" wrapText="1"/>
    </xf>
    <xf numFmtId="10" fontId="8" fillId="0" borderId="0" xfId="44" applyNumberFormat="1" applyFont="1" applyAlignment="1">
      <alignment horizontal="center"/>
    </xf>
    <xf numFmtId="4" fontId="8" fillId="0" borderId="0" xfId="0" applyNumberFormat="1" applyFont="1"/>
    <xf numFmtId="164" fontId="24" fillId="0" borderId="5" xfId="1" applyFont="1" applyFill="1" applyBorder="1" applyAlignment="1">
      <alignment horizontal="center"/>
    </xf>
    <xf numFmtId="164" fontId="8" fillId="0" borderId="9" xfId="1" applyFont="1" applyFill="1" applyBorder="1" applyAlignment="1">
      <alignment horizontal="center"/>
    </xf>
    <xf numFmtId="164" fontId="8" fillId="0" borderId="5" xfId="1" applyFont="1" applyBorder="1" applyAlignment="1">
      <alignment horizontal="center"/>
    </xf>
    <xf numFmtId="164" fontId="8" fillId="0" borderId="0" xfId="1" applyFont="1" applyFill="1" applyAlignment="1">
      <alignment horizontal="center"/>
    </xf>
    <xf numFmtId="0" fontId="8" fillId="0" borderId="0" xfId="0" applyFont="1" applyAlignment="1">
      <alignment horizontal="center"/>
    </xf>
    <xf numFmtId="2" fontId="13" fillId="0" borderId="5" xfId="1" applyNumberFormat="1" applyFont="1" applyBorder="1" applyAlignment="1">
      <alignment horizontal="center"/>
    </xf>
    <xf numFmtId="2" fontId="13" fillId="0" borderId="6" xfId="0" applyNumberFormat="1" applyFont="1" applyBorder="1"/>
    <xf numFmtId="2" fontId="13" fillId="0" borderId="5" xfId="1" applyNumberFormat="1" applyFont="1" applyFill="1" applyBorder="1" applyAlignment="1"/>
    <xf numFmtId="2" fontId="13" fillId="0" borderId="5" xfId="1" applyNumberFormat="1" applyFont="1" applyBorder="1" applyAlignment="1"/>
    <xf numFmtId="2" fontId="17" fillId="0" borderId="5" xfId="0" applyNumberFormat="1" applyFont="1" applyBorder="1"/>
    <xf numFmtId="2" fontId="13" fillId="0" borderId="39" xfId="0" applyNumberFormat="1" applyFont="1" applyBorder="1"/>
    <xf numFmtId="2" fontId="14" fillId="4" borderId="40" xfId="1" applyNumberFormat="1" applyFont="1" applyFill="1" applyBorder="1"/>
    <xf numFmtId="2" fontId="14" fillId="4" borderId="19" xfId="0" applyNumberFormat="1" applyFont="1" applyFill="1" applyBorder="1"/>
    <xf numFmtId="2" fontId="13" fillId="0" borderId="5" xfId="1" applyNumberFormat="1" applyFont="1" applyBorder="1" applyAlignment="1">
      <alignment wrapText="1"/>
    </xf>
    <xf numFmtId="0" fontId="16" fillId="0" borderId="0" xfId="0" applyFont="1"/>
    <xf numFmtId="164" fontId="18" fillId="0" borderId="0" xfId="0" applyNumberFormat="1" applyFont="1"/>
    <xf numFmtId="0" fontId="16" fillId="0" borderId="43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20" xfId="0" applyFont="1" applyBorder="1"/>
    <xf numFmtId="164" fontId="18" fillId="0" borderId="20" xfId="0" applyNumberFormat="1" applyFont="1" applyBorder="1"/>
    <xf numFmtId="164" fontId="13" fillId="0" borderId="5" xfId="1" applyFont="1" applyFill="1" applyBorder="1" applyAlignment="1"/>
    <xf numFmtId="164" fontId="13" fillId="5" borderId="5" xfId="1" applyFont="1" applyFill="1" applyBorder="1" applyAlignment="1">
      <alignment vertical="center" wrapText="1"/>
    </xf>
    <xf numFmtId="164" fontId="13" fillId="0" borderId="6" xfId="1" applyFont="1" applyBorder="1" applyAlignment="1"/>
    <xf numFmtId="164" fontId="13" fillId="0" borderId="5" xfId="1" applyFont="1" applyBorder="1" applyAlignment="1"/>
    <xf numFmtId="164" fontId="13" fillId="0" borderId="46" xfId="0" applyNumberFormat="1" applyFont="1" applyBorder="1"/>
    <xf numFmtId="2" fontId="13" fillId="5" borderId="5" xfId="1" applyNumberFormat="1" applyFont="1" applyFill="1" applyBorder="1" applyAlignment="1"/>
    <xf numFmtId="0" fontId="13" fillId="5" borderId="0" xfId="0" applyFont="1" applyFill="1" applyAlignment="1">
      <alignment horizontal="right" vertical="center"/>
    </xf>
    <xf numFmtId="0" fontId="13" fillId="0" borderId="0" xfId="0" applyFont="1" applyAlignment="1">
      <alignment horizontal="right"/>
    </xf>
    <xf numFmtId="17" fontId="13" fillId="5" borderId="0" xfId="0" applyNumberFormat="1" applyFont="1" applyFill="1"/>
    <xf numFmtId="2" fontId="15" fillId="0" borderId="5" xfId="1" applyNumberFormat="1" applyFont="1" applyFill="1" applyBorder="1" applyAlignment="1"/>
    <xf numFmtId="164" fontId="13" fillId="0" borderId="5" xfId="1" applyFont="1" applyBorder="1" applyAlignment="1">
      <alignment horizontal="right"/>
    </xf>
    <xf numFmtId="9" fontId="8" fillId="0" borderId="52" xfId="44" applyFont="1" applyBorder="1"/>
    <xf numFmtId="10" fontId="8" fillId="0" borderId="0" xfId="25" applyNumberFormat="1" applyFont="1" applyAlignment="1">
      <alignment horizontal="center"/>
    </xf>
    <xf numFmtId="9" fontId="8" fillId="0" borderId="56" xfId="44" applyFont="1" applyBorder="1"/>
    <xf numFmtId="9" fontId="8" fillId="4" borderId="91" xfId="44" applyFont="1" applyFill="1" applyBorder="1"/>
    <xf numFmtId="164" fontId="17" fillId="0" borderId="0" xfId="0" applyNumberFormat="1" applyFont="1"/>
    <xf numFmtId="43" fontId="25" fillId="4" borderId="18" xfId="0" applyNumberFormat="1" applyFont="1" applyFill="1" applyBorder="1"/>
    <xf numFmtId="0" fontId="13" fillId="5" borderId="25" xfId="0" applyFont="1" applyFill="1" applyBorder="1" applyAlignment="1">
      <alignment horizontal="right"/>
    </xf>
    <xf numFmtId="164" fontId="13" fillId="5" borderId="0" xfId="1" applyFont="1" applyFill="1" applyAlignment="1">
      <alignment horizontal="center"/>
    </xf>
    <xf numFmtId="0" fontId="13" fillId="0" borderId="8" xfId="0" applyFont="1" applyBorder="1"/>
    <xf numFmtId="164" fontId="13" fillId="5" borderId="0" xfId="1" applyFont="1" applyFill="1" applyBorder="1" applyAlignment="1">
      <alignment horizontal="center"/>
    </xf>
    <xf numFmtId="164" fontId="14" fillId="5" borderId="0" xfId="0" applyNumberFormat="1" applyFont="1" applyFill="1" applyAlignment="1">
      <alignment horizontal="center"/>
    </xf>
    <xf numFmtId="164" fontId="13" fillId="0" borderId="39" xfId="1" applyFont="1" applyFill="1" applyBorder="1" applyAlignment="1"/>
    <xf numFmtId="164" fontId="13" fillId="0" borderId="39" xfId="1" applyFont="1" applyBorder="1" applyAlignment="1"/>
    <xf numFmtId="164" fontId="13" fillId="0" borderId="39" xfId="1" applyFont="1" applyBorder="1"/>
    <xf numFmtId="0" fontId="8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59" xfId="0" applyFont="1" applyBorder="1" applyAlignment="1">
      <alignment horizontal="left" wrapText="1"/>
    </xf>
    <xf numFmtId="0" fontId="8" fillId="0" borderId="60" xfId="0" applyFont="1" applyBorder="1" applyAlignment="1">
      <alignment horizontal="left" wrapText="1"/>
    </xf>
    <xf numFmtId="0" fontId="8" fillId="0" borderId="37" xfId="0" applyFont="1" applyBorder="1" applyAlignment="1">
      <alignment horizontal="left" wrapText="1"/>
    </xf>
    <xf numFmtId="0" fontId="8" fillId="0" borderId="38" xfId="0" applyFont="1" applyBorder="1" applyAlignment="1">
      <alignment horizontal="left" wrapText="1"/>
    </xf>
    <xf numFmtId="0" fontId="8" fillId="0" borderId="49" xfId="0" applyFont="1" applyBorder="1" applyAlignment="1">
      <alignment horizontal="left" wrapText="1"/>
    </xf>
    <xf numFmtId="0" fontId="8" fillId="0" borderId="48" xfId="0" applyFont="1" applyBorder="1" applyAlignment="1">
      <alignment horizontal="left" wrapText="1"/>
    </xf>
    <xf numFmtId="0" fontId="11" fillId="0" borderId="20" xfId="0" applyFont="1" applyBorder="1" applyAlignment="1">
      <alignment horizontal="center"/>
    </xf>
    <xf numFmtId="0" fontId="14" fillId="0" borderId="95" xfId="0" applyFont="1" applyBorder="1" applyAlignment="1">
      <alignment horizontal="center" vertical="center"/>
    </xf>
    <xf numFmtId="0" fontId="14" fillId="0" borderId="96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43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5" borderId="25" xfId="0" applyFont="1" applyFill="1" applyBorder="1" applyAlignment="1">
      <alignment horizontal="center"/>
    </xf>
    <xf numFmtId="0" fontId="16" fillId="5" borderId="0" xfId="0" applyFont="1" applyFill="1" applyAlignment="1">
      <alignment horizontal="center"/>
    </xf>
    <xf numFmtId="43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4" fillId="0" borderId="34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6" fillId="5" borderId="11" xfId="0" applyFont="1" applyFill="1" applyBorder="1" applyAlignment="1">
      <alignment horizontal="center"/>
    </xf>
    <xf numFmtId="0" fontId="13" fillId="0" borderId="20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left" vertical="center" wrapText="1"/>
    </xf>
    <xf numFmtId="0" fontId="22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1" fillId="0" borderId="48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71" xfId="0" applyFont="1" applyBorder="1" applyAlignment="1">
      <alignment horizontal="center"/>
    </xf>
    <xf numFmtId="0" fontId="11" fillId="0" borderId="72" xfId="0" applyFont="1" applyBorder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22" fillId="0" borderId="81" xfId="0" applyFont="1" applyBorder="1" applyAlignment="1">
      <alignment horizontal="left" vertical="center" wrapText="1"/>
    </xf>
    <xf numFmtId="0" fontId="22" fillId="0" borderId="85" xfId="0" applyFont="1" applyBorder="1" applyAlignment="1">
      <alignment horizontal="left" vertical="center" wrapText="1"/>
    </xf>
    <xf numFmtId="0" fontId="22" fillId="0" borderId="86" xfId="0" applyFont="1" applyBorder="1" applyAlignment="1">
      <alignment horizontal="left" vertical="center" wrapText="1"/>
    </xf>
    <xf numFmtId="0" fontId="13" fillId="0" borderId="92" xfId="0" applyFont="1" applyBorder="1" applyAlignment="1">
      <alignment horizontal="left" wrapText="1"/>
    </xf>
    <xf numFmtId="0" fontId="15" fillId="5" borderId="0" xfId="0" applyFont="1" applyFill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6" fillId="0" borderId="25" xfId="0" applyFont="1" applyBorder="1" applyAlignment="1">
      <alignment horizontal="center"/>
    </xf>
    <xf numFmtId="164" fontId="16" fillId="5" borderId="20" xfId="1" applyFont="1" applyFill="1" applyBorder="1" applyAlignment="1">
      <alignment horizontal="center"/>
    </xf>
    <xf numFmtId="164" fontId="16" fillId="5" borderId="0" xfId="1" applyFont="1" applyFill="1" applyBorder="1" applyAlignment="1">
      <alignment horizontal="center" wrapText="1"/>
    </xf>
    <xf numFmtId="164" fontId="16" fillId="0" borderId="20" xfId="1" applyFont="1" applyFill="1" applyBorder="1" applyAlignment="1">
      <alignment horizontal="center"/>
    </xf>
    <xf numFmtId="164" fontId="16" fillId="5" borderId="0" xfId="1" applyFont="1" applyFill="1" applyBorder="1" applyAlignment="1">
      <alignment horizontal="center"/>
    </xf>
    <xf numFmtId="0" fontId="31" fillId="0" borderId="95" xfId="0" applyFont="1" applyFill="1" applyBorder="1" applyAlignment="1">
      <alignment horizontal="center"/>
    </xf>
    <xf numFmtId="0" fontId="31" fillId="0" borderId="96" xfId="0" applyFont="1" applyFill="1" applyBorder="1" applyAlignment="1">
      <alignment horizontal="center"/>
    </xf>
    <xf numFmtId="0" fontId="31" fillId="0" borderId="64" xfId="0" applyFont="1" applyFill="1" applyBorder="1" applyAlignment="1">
      <alignment horizontal="center"/>
    </xf>
    <xf numFmtId="0" fontId="26" fillId="0" borderId="50" xfId="0" applyFont="1" applyFill="1" applyBorder="1" applyAlignment="1">
      <alignment horizontal="left" vertical="center"/>
    </xf>
    <xf numFmtId="0" fontId="27" fillId="0" borderId="96" xfId="0" applyFont="1" applyFill="1" applyBorder="1" applyAlignment="1">
      <alignment horizontal="left" vertical="center"/>
    </xf>
    <xf numFmtId="0" fontId="27" fillId="0" borderId="50" xfId="0" applyFont="1" applyFill="1" applyBorder="1" applyAlignment="1">
      <alignment horizontal="center" vertical="center"/>
    </xf>
    <xf numFmtId="0" fontId="27" fillId="0" borderId="64" xfId="0" applyFont="1" applyFill="1" applyBorder="1" applyAlignment="1">
      <alignment horizontal="left" vertical="center"/>
    </xf>
    <xf numFmtId="0" fontId="28" fillId="0" borderId="55" xfId="0" applyFont="1" applyFill="1" applyBorder="1" applyAlignment="1">
      <alignment horizontal="right" vertical="center"/>
    </xf>
    <xf numFmtId="0" fontId="29" fillId="0" borderId="20" xfId="0" applyFont="1" applyFill="1" applyBorder="1" applyAlignment="1">
      <alignment horizontal="left" vertical="center"/>
    </xf>
    <xf numFmtId="0" fontId="28" fillId="0" borderId="55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9" fontId="29" fillId="0" borderId="44" xfId="0" applyNumberFormat="1" applyFont="1" applyFill="1" applyBorder="1" applyAlignment="1">
      <alignment horizontal="center" vertical="center"/>
    </xf>
    <xf numFmtId="0" fontId="28" fillId="0" borderId="55" xfId="0" applyFont="1" applyFill="1" applyBorder="1" applyAlignment="1">
      <alignment horizontal="left" vertical="center"/>
    </xf>
    <xf numFmtId="0" fontId="27" fillId="0" borderId="95" xfId="0" applyFont="1" applyFill="1" applyBorder="1" applyAlignment="1">
      <alignment horizontal="center" vertical="center"/>
    </xf>
    <xf numFmtId="0" fontId="27" fillId="0" borderId="96" xfId="0" applyFont="1" applyFill="1" applyBorder="1" applyAlignment="1">
      <alignment horizontal="center" vertical="center"/>
    </xf>
    <xf numFmtId="0" fontId="27" fillId="0" borderId="64" xfId="0" applyFont="1" applyFill="1" applyBorder="1" applyAlignment="1">
      <alignment horizontal="center" vertical="center"/>
    </xf>
    <xf numFmtId="9" fontId="30" fillId="0" borderId="44" xfId="0" applyNumberFormat="1" applyFont="1" applyFill="1" applyBorder="1" applyAlignment="1">
      <alignment horizontal="right" vertical="center"/>
    </xf>
  </cellXfs>
  <cellStyles count="45">
    <cellStyle name="Comma" xfId="1" builtinId="3"/>
    <cellStyle name="Comma 11" xfId="10"/>
    <cellStyle name="Comma 11 2" xfId="29"/>
    <cellStyle name="Comma 17" xfId="22"/>
    <cellStyle name="Comma 17 2" xfId="31"/>
    <cellStyle name="Comma 2" xfId="4"/>
    <cellStyle name="Comma 2 10" xfId="26"/>
    <cellStyle name="Comma 2 2" xfId="3"/>
    <cellStyle name="Comma 2 2 2 2 2" xfId="16"/>
    <cellStyle name="Comma 2 2 2 2 2 2" xfId="27"/>
    <cellStyle name="Comma 2 2 2 2 2 3" xfId="23"/>
    <cellStyle name="Comma 2 2 2 2 3" xfId="11"/>
    <cellStyle name="Comma 2 2 2 2 3 2" xfId="28"/>
    <cellStyle name="Comma 2 2 2 2 5 2" xfId="18"/>
    <cellStyle name="Comma 2 3" xfId="15"/>
    <cellStyle name="Comma 2 4" xfId="43"/>
    <cellStyle name="Comma 2 6" xfId="21"/>
    <cellStyle name="Comma 2 6 2" xfId="30"/>
    <cellStyle name="Comma 3" xfId="5"/>
    <cellStyle name="Comma 4" xfId="6"/>
    <cellStyle name="Comma 5" xfId="7"/>
    <cellStyle name="Comma 5 2" xfId="39"/>
    <cellStyle name="Comma 6" xfId="9"/>
    <cellStyle name="Comma 7" xfId="40"/>
    <cellStyle name="custom dictionary 2" xfId="12"/>
    <cellStyle name="Normal" xfId="0" builtinId="0"/>
    <cellStyle name="Normal 2" xfId="2"/>
    <cellStyle name="Normal 2 2" xfId="41"/>
    <cellStyle name="Normal 2 2 2 2" xfId="14"/>
    <cellStyle name="Normal 2 3 2 2" xfId="17"/>
    <cellStyle name="Normal 2 3 3" xfId="24"/>
    <cellStyle name="Normal 3" xfId="8"/>
    <cellStyle name="Normal 3 2" xfId="38"/>
    <cellStyle name="Normal 4" xfId="13"/>
    <cellStyle name="Normal 4 2" xfId="32"/>
    <cellStyle name="Normal 4 2 3" xfId="20"/>
    <cellStyle name="Normal 4 3" xfId="36"/>
    <cellStyle name="Normal 4 4" xfId="42"/>
    <cellStyle name="Normal 4 6" xfId="19"/>
    <cellStyle name="Normal 5" xfId="33"/>
    <cellStyle name="Normal 6" xfId="34"/>
    <cellStyle name="Normal 6 2" xfId="35"/>
    <cellStyle name="Normal 6 3" xfId="37"/>
    <cellStyle name="Percent" xfId="44" builtinId="5"/>
    <cellStyle name="Percent 2 2" xfId="25"/>
  </cellStyles>
  <dxfs count="0"/>
  <tableStyles count="0" defaultTableStyle="TableStyleMedium2" defaultPivotStyle="PivotStyleLight16"/>
  <colors>
    <mruColors>
      <color rgb="FF3B21FB"/>
      <color rgb="FF6A56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4"/>
  <sheetViews>
    <sheetView tabSelected="1" workbookViewId="0">
      <selection activeCell="I13" sqref="I13"/>
    </sheetView>
  </sheetViews>
  <sheetFormatPr defaultRowHeight="14.5"/>
  <cols>
    <col min="2" max="2" width="4.7265625" customWidth="1"/>
    <col min="3" max="3" width="26.6328125" bestFit="1" customWidth="1"/>
    <col min="4" max="4" width="24" bestFit="1" customWidth="1"/>
    <col min="5" max="5" width="30.6328125" bestFit="1" customWidth="1"/>
    <col min="6" max="6" width="22" bestFit="1" customWidth="1"/>
  </cols>
  <sheetData>
    <row r="2" spans="2:6" ht="15" thickBot="1"/>
    <row r="3" spans="2:6" ht="15" thickBot="1">
      <c r="B3" s="413" t="s">
        <v>275</v>
      </c>
      <c r="C3" s="414"/>
      <c r="D3" s="414"/>
      <c r="E3" s="414"/>
      <c r="F3" s="415"/>
    </row>
    <row r="4" spans="2:6" ht="16" thickBot="1">
      <c r="B4" s="416" t="s">
        <v>276</v>
      </c>
      <c r="C4" s="417" t="s">
        <v>277</v>
      </c>
      <c r="D4" s="418" t="s">
        <v>278</v>
      </c>
      <c r="E4" s="419" t="s">
        <v>279</v>
      </c>
      <c r="F4" s="419" t="s">
        <v>280</v>
      </c>
    </row>
    <row r="5" spans="2:6" ht="16.5" thickBot="1">
      <c r="B5" s="420">
        <v>1</v>
      </c>
      <c r="C5" s="421" t="s">
        <v>281</v>
      </c>
      <c r="D5" s="422">
        <v>3500</v>
      </c>
      <c r="E5" s="423">
        <v>1941.5</v>
      </c>
      <c r="F5" s="424">
        <v>0.55000000000000004</v>
      </c>
    </row>
    <row r="6" spans="2:6" ht="16.5" thickBot="1">
      <c r="B6" s="420">
        <v>2</v>
      </c>
      <c r="C6" s="421" t="s">
        <v>15</v>
      </c>
      <c r="D6" s="422">
        <v>2217.6</v>
      </c>
      <c r="E6" s="423">
        <v>759.42</v>
      </c>
      <c r="F6" s="424">
        <v>0.34</v>
      </c>
    </row>
    <row r="7" spans="2:6" ht="16.5" thickBot="1">
      <c r="B7" s="420">
        <v>3</v>
      </c>
      <c r="C7" s="421" t="s">
        <v>282</v>
      </c>
      <c r="D7" s="422">
        <v>2496.9</v>
      </c>
      <c r="E7" s="423">
        <v>1321</v>
      </c>
      <c r="F7" s="424">
        <v>0.53</v>
      </c>
    </row>
    <row r="8" spans="2:6" ht="16.5" thickBot="1">
      <c r="B8" s="420">
        <v>4</v>
      </c>
      <c r="C8" s="421" t="s">
        <v>163</v>
      </c>
      <c r="D8" s="422">
        <v>1415.19</v>
      </c>
      <c r="E8" s="423">
        <v>1722.2860000000001</v>
      </c>
      <c r="F8" s="424">
        <v>1.22</v>
      </c>
    </row>
    <row r="9" spans="2:6" ht="16.5" thickBot="1">
      <c r="B9" s="420">
        <v>5</v>
      </c>
      <c r="C9" s="421" t="s">
        <v>283</v>
      </c>
      <c r="D9" s="422">
        <v>609.84</v>
      </c>
      <c r="E9" s="423">
        <v>1180.4000000000001</v>
      </c>
      <c r="F9" s="424">
        <v>1.94</v>
      </c>
    </row>
    <row r="10" spans="2:6" ht="16.5" thickBot="1">
      <c r="B10" s="420">
        <v>6</v>
      </c>
      <c r="C10" s="421" t="s">
        <v>240</v>
      </c>
      <c r="D10" s="422">
        <v>2143.75</v>
      </c>
      <c r="E10" s="423">
        <v>173.86</v>
      </c>
      <c r="F10" s="424">
        <v>0.08</v>
      </c>
    </row>
    <row r="11" spans="2:6" ht="16.5" thickBot="1">
      <c r="B11" s="420">
        <v>7</v>
      </c>
      <c r="C11" s="421" t="s">
        <v>284</v>
      </c>
      <c r="D11" s="422">
        <v>72.17</v>
      </c>
      <c r="E11" s="423">
        <v>12.295</v>
      </c>
      <c r="F11" s="424">
        <v>0.17</v>
      </c>
    </row>
    <row r="12" spans="2:6" ht="16.5" thickBot="1">
      <c r="B12" s="420">
        <v>8</v>
      </c>
      <c r="C12" s="421" t="s">
        <v>285</v>
      </c>
      <c r="D12" s="422">
        <v>181.44</v>
      </c>
      <c r="E12" s="423">
        <v>108.08</v>
      </c>
      <c r="F12" s="424">
        <v>0.6</v>
      </c>
    </row>
    <row r="13" spans="2:6" ht="16.5" thickBot="1">
      <c r="B13" s="420">
        <v>9</v>
      </c>
      <c r="C13" s="421" t="s">
        <v>286</v>
      </c>
      <c r="D13" s="422">
        <v>382.41</v>
      </c>
      <c r="E13" s="423">
        <v>116.78</v>
      </c>
      <c r="F13" s="424">
        <v>0.31</v>
      </c>
    </row>
    <row r="14" spans="2:6" ht="16.5" thickBot="1">
      <c r="B14" s="420">
        <v>10</v>
      </c>
      <c r="C14" s="421" t="s">
        <v>13</v>
      </c>
      <c r="D14" s="422">
        <v>226.59</v>
      </c>
      <c r="E14" s="423">
        <v>174.88800000000001</v>
      </c>
      <c r="F14" s="424">
        <v>0.77</v>
      </c>
    </row>
    <row r="15" spans="2:6" ht="16.5" thickBot="1">
      <c r="B15" s="420">
        <v>11</v>
      </c>
      <c r="C15" s="421" t="s">
        <v>287</v>
      </c>
      <c r="D15" s="422">
        <v>4830</v>
      </c>
      <c r="E15" s="423">
        <v>2466.0300000000002</v>
      </c>
      <c r="F15" s="424">
        <v>0.51</v>
      </c>
    </row>
    <row r="16" spans="2:6" ht="16.5" thickBot="1">
      <c r="B16" s="420">
        <v>12</v>
      </c>
      <c r="C16" s="421" t="s">
        <v>288</v>
      </c>
      <c r="D16" s="422">
        <v>107.03</v>
      </c>
      <c r="E16" s="423">
        <v>423</v>
      </c>
      <c r="F16" s="424">
        <v>3.95</v>
      </c>
    </row>
    <row r="17" spans="2:6" ht="16.5" thickBot="1">
      <c r="B17" s="420">
        <v>13</v>
      </c>
      <c r="C17" s="421" t="s">
        <v>289</v>
      </c>
      <c r="D17" s="422">
        <v>123.69</v>
      </c>
      <c r="E17" s="423">
        <v>124.176</v>
      </c>
      <c r="F17" s="424">
        <v>1</v>
      </c>
    </row>
    <row r="18" spans="2:6" ht="16.5" thickBot="1">
      <c r="B18" s="420">
        <v>14</v>
      </c>
      <c r="C18" s="421" t="s">
        <v>238</v>
      </c>
      <c r="D18" s="422">
        <v>280</v>
      </c>
      <c r="E18" s="423">
        <v>396.27364499999999</v>
      </c>
      <c r="F18" s="424">
        <v>1.42</v>
      </c>
    </row>
    <row r="19" spans="2:6" ht="16.5" thickBot="1">
      <c r="B19" s="420">
        <v>15</v>
      </c>
      <c r="C19" s="421" t="s">
        <v>290</v>
      </c>
      <c r="D19" s="422">
        <v>840.84</v>
      </c>
      <c r="E19" s="423">
        <v>949</v>
      </c>
      <c r="F19" s="424">
        <v>1.1299999999999999</v>
      </c>
    </row>
    <row r="20" spans="2:6" ht="16.5" thickBot="1">
      <c r="B20" s="420">
        <v>16</v>
      </c>
      <c r="C20" s="421" t="s">
        <v>291</v>
      </c>
      <c r="D20" s="422">
        <v>172.9</v>
      </c>
      <c r="E20" s="423">
        <v>0</v>
      </c>
      <c r="F20" s="424">
        <v>0</v>
      </c>
    </row>
    <row r="21" spans="2:6" ht="16.5" thickBot="1">
      <c r="B21" s="420">
        <v>17</v>
      </c>
      <c r="C21" s="421" t="s">
        <v>292</v>
      </c>
      <c r="D21" s="422">
        <v>112</v>
      </c>
      <c r="E21" s="423">
        <v>0</v>
      </c>
      <c r="F21" s="424">
        <v>0</v>
      </c>
    </row>
    <row r="22" spans="2:6" ht="16.5" thickBot="1">
      <c r="B22" s="420">
        <v>18</v>
      </c>
      <c r="C22" s="421" t="s">
        <v>293</v>
      </c>
      <c r="D22" s="422">
        <v>178.99</v>
      </c>
      <c r="E22" s="423">
        <v>0</v>
      </c>
      <c r="F22" s="424">
        <v>0</v>
      </c>
    </row>
    <row r="23" spans="2:6" ht="16.5" thickBot="1">
      <c r="B23" s="420">
        <v>19</v>
      </c>
      <c r="C23" s="421" t="s">
        <v>294</v>
      </c>
      <c r="D23" s="422">
        <v>178.57</v>
      </c>
      <c r="E23" s="423">
        <v>0</v>
      </c>
      <c r="F23" s="424">
        <v>0</v>
      </c>
    </row>
    <row r="24" spans="2:6" ht="16.5" thickBot="1">
      <c r="B24" s="420">
        <v>20</v>
      </c>
      <c r="C24" s="421" t="s">
        <v>295</v>
      </c>
      <c r="D24" s="422">
        <v>9.52</v>
      </c>
      <c r="E24" s="423">
        <v>0</v>
      </c>
      <c r="F24" s="424">
        <v>0</v>
      </c>
    </row>
    <row r="25" spans="2:6" ht="16.5" thickBot="1">
      <c r="B25" s="420">
        <v>21</v>
      </c>
      <c r="C25" s="421" t="s">
        <v>296</v>
      </c>
      <c r="D25" s="422">
        <v>1855</v>
      </c>
      <c r="E25" s="423">
        <v>0</v>
      </c>
      <c r="F25" s="424">
        <v>0</v>
      </c>
    </row>
    <row r="26" spans="2:6" ht="16.5" thickBot="1">
      <c r="B26" s="420">
        <v>22</v>
      </c>
      <c r="C26" s="421" t="s">
        <v>297</v>
      </c>
      <c r="D26" s="422">
        <v>2.94</v>
      </c>
      <c r="E26" s="423">
        <v>0</v>
      </c>
      <c r="F26" s="424">
        <v>0</v>
      </c>
    </row>
    <row r="27" spans="2:6" ht="16.5" thickBot="1">
      <c r="B27" s="420">
        <v>23</v>
      </c>
      <c r="C27" s="421" t="s">
        <v>298</v>
      </c>
      <c r="D27" s="422">
        <v>3.36</v>
      </c>
      <c r="E27" s="423">
        <v>0</v>
      </c>
      <c r="F27" s="424">
        <v>0</v>
      </c>
    </row>
    <row r="28" spans="2:6" ht="16.5" thickBot="1">
      <c r="B28" s="420">
        <v>24</v>
      </c>
      <c r="C28" s="421" t="s">
        <v>299</v>
      </c>
      <c r="D28" s="422">
        <v>42.21</v>
      </c>
      <c r="E28" s="423">
        <v>0</v>
      </c>
      <c r="F28" s="424">
        <v>0</v>
      </c>
    </row>
    <row r="29" spans="2:6" ht="16.5" thickBot="1">
      <c r="B29" s="420">
        <v>25</v>
      </c>
      <c r="C29" s="421" t="s">
        <v>300</v>
      </c>
      <c r="D29" s="422">
        <v>38.64</v>
      </c>
      <c r="E29" s="423">
        <v>0</v>
      </c>
      <c r="F29" s="424">
        <v>0</v>
      </c>
    </row>
    <row r="30" spans="2:6" ht="16.5" thickBot="1">
      <c r="B30" s="420">
        <v>26</v>
      </c>
      <c r="C30" s="421" t="s">
        <v>301</v>
      </c>
      <c r="D30" s="422">
        <v>9.24</v>
      </c>
      <c r="E30" s="423">
        <v>0</v>
      </c>
      <c r="F30" s="424">
        <v>0</v>
      </c>
    </row>
    <row r="31" spans="2:6" ht="16.5" thickBot="1">
      <c r="B31" s="420">
        <v>27</v>
      </c>
      <c r="C31" s="421" t="s">
        <v>302</v>
      </c>
      <c r="D31" s="422">
        <v>38.29</v>
      </c>
      <c r="E31" s="423">
        <v>0</v>
      </c>
      <c r="F31" s="424">
        <v>0</v>
      </c>
    </row>
    <row r="32" spans="2:6" ht="16.5" thickBot="1">
      <c r="B32" s="420">
        <v>28</v>
      </c>
      <c r="C32" s="421" t="s">
        <v>303</v>
      </c>
      <c r="D32" s="422">
        <v>49</v>
      </c>
      <c r="E32" s="423">
        <v>0</v>
      </c>
      <c r="F32" s="424">
        <v>0</v>
      </c>
    </row>
    <row r="33" spans="2:6" ht="16.5" thickBot="1">
      <c r="B33" s="420">
        <v>29</v>
      </c>
      <c r="C33" s="421" t="s">
        <v>304</v>
      </c>
      <c r="D33" s="422">
        <v>3.64</v>
      </c>
      <c r="E33" s="423">
        <v>0</v>
      </c>
      <c r="F33" s="424">
        <v>0</v>
      </c>
    </row>
    <row r="34" spans="2:6" ht="16.5" thickBot="1">
      <c r="B34" s="420">
        <v>30</v>
      </c>
      <c r="C34" s="421" t="s">
        <v>305</v>
      </c>
      <c r="D34" s="422">
        <v>34.369999999999997</v>
      </c>
      <c r="E34" s="423">
        <v>0</v>
      </c>
      <c r="F34" s="424">
        <v>0</v>
      </c>
    </row>
    <row r="35" spans="2:6" ht="16.5" thickBot="1">
      <c r="B35" s="420">
        <v>31</v>
      </c>
      <c r="C35" s="421" t="s">
        <v>306</v>
      </c>
      <c r="D35" s="422">
        <v>52.92</v>
      </c>
      <c r="E35" s="423">
        <v>0</v>
      </c>
      <c r="F35" s="424">
        <v>0</v>
      </c>
    </row>
    <row r="36" spans="2:6" ht="16.5" thickBot="1">
      <c r="B36" s="420">
        <v>32</v>
      </c>
      <c r="C36" s="421" t="s">
        <v>307</v>
      </c>
      <c r="D36" s="422">
        <v>77</v>
      </c>
      <c r="E36" s="423">
        <v>0</v>
      </c>
      <c r="F36" s="424">
        <v>0</v>
      </c>
    </row>
    <row r="37" spans="2:6" ht="16.5" thickBot="1">
      <c r="B37" s="420">
        <v>33</v>
      </c>
      <c r="C37" s="421" t="s">
        <v>308</v>
      </c>
      <c r="D37" s="422">
        <v>6.23</v>
      </c>
      <c r="E37" s="423">
        <v>0</v>
      </c>
      <c r="F37" s="424">
        <v>0</v>
      </c>
    </row>
    <row r="38" spans="2:6" ht="16.5" thickBot="1">
      <c r="B38" s="420">
        <v>34</v>
      </c>
      <c r="C38" s="421" t="s">
        <v>309</v>
      </c>
      <c r="D38" s="422">
        <v>119.77</v>
      </c>
      <c r="E38" s="423">
        <v>0</v>
      </c>
      <c r="F38" s="424">
        <v>0</v>
      </c>
    </row>
    <row r="39" spans="2:6" ht="16.5" thickBot="1">
      <c r="B39" s="420">
        <v>35</v>
      </c>
      <c r="C39" s="421" t="s">
        <v>310</v>
      </c>
      <c r="D39" s="422">
        <v>5.67</v>
      </c>
      <c r="E39" s="423">
        <v>0</v>
      </c>
      <c r="F39" s="424">
        <v>0</v>
      </c>
    </row>
    <row r="40" spans="2:6" ht="16.5" thickBot="1">
      <c r="B40" s="420">
        <v>36</v>
      </c>
      <c r="C40" s="421" t="s">
        <v>311</v>
      </c>
      <c r="D40" s="422">
        <v>210</v>
      </c>
      <c r="E40" s="423">
        <v>0</v>
      </c>
      <c r="F40" s="424">
        <v>0</v>
      </c>
    </row>
    <row r="41" spans="2:6" ht="16.5" thickBot="1">
      <c r="B41" s="420">
        <v>37</v>
      </c>
      <c r="C41" s="421" t="s">
        <v>312</v>
      </c>
      <c r="D41" s="422">
        <v>58.38</v>
      </c>
      <c r="E41" s="423">
        <v>0</v>
      </c>
      <c r="F41" s="424">
        <v>0</v>
      </c>
    </row>
    <row r="42" spans="2:6" ht="16.5" thickBot="1">
      <c r="B42" s="420">
        <v>38</v>
      </c>
      <c r="C42" s="421" t="s">
        <v>313</v>
      </c>
      <c r="D42" s="422">
        <v>15.4</v>
      </c>
      <c r="E42" s="423">
        <v>0</v>
      </c>
      <c r="F42" s="424">
        <v>0</v>
      </c>
    </row>
    <row r="43" spans="2:6" ht="16.5" thickBot="1">
      <c r="B43" s="420">
        <v>39</v>
      </c>
      <c r="C43" s="421" t="s">
        <v>314</v>
      </c>
      <c r="D43" s="422">
        <v>10.29</v>
      </c>
      <c r="E43" s="423">
        <v>0</v>
      </c>
      <c r="F43" s="424">
        <v>0</v>
      </c>
    </row>
    <row r="44" spans="2:6" ht="16.5" thickBot="1">
      <c r="B44" s="425"/>
      <c r="C44" s="426" t="s">
        <v>315</v>
      </c>
      <c r="D44" s="427"/>
      <c r="E44" s="428"/>
      <c r="F44" s="429">
        <v>0.52</v>
      </c>
    </row>
  </sheetData>
  <mergeCells count="2">
    <mergeCell ref="B3:F3"/>
    <mergeCell ref="C44:E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P35"/>
  <sheetViews>
    <sheetView topLeftCell="A22" zoomScaleNormal="100" workbookViewId="0">
      <selection activeCell="C13" sqref="C13"/>
    </sheetView>
  </sheetViews>
  <sheetFormatPr defaultColWidth="9.1796875" defaultRowHeight="14"/>
  <cols>
    <col min="1" max="1" width="3.81640625" style="1" customWidth="1"/>
    <col min="2" max="2" width="23.7265625" style="1" bestFit="1" customWidth="1"/>
    <col min="3" max="3" width="17.1796875" style="270" bestFit="1" customWidth="1"/>
    <col min="4" max="4" width="17.1796875" style="273" bestFit="1" customWidth="1"/>
    <col min="5" max="5" width="20.1796875" style="144" customWidth="1"/>
    <col min="6" max="6" width="19.81640625" style="1" bestFit="1" customWidth="1"/>
    <col min="7" max="7" width="9.26953125" style="1" customWidth="1"/>
    <col min="8" max="9" width="5.7265625" style="1" customWidth="1"/>
    <col min="10" max="10" width="10.54296875" style="1" bestFit="1" customWidth="1"/>
    <col min="11" max="11" width="5.7265625" style="1" customWidth="1"/>
    <col min="12" max="12" width="16.1796875" style="1" bestFit="1" customWidth="1"/>
    <col min="13" max="26" width="5.7265625" style="1" customWidth="1"/>
    <col min="27" max="16384" width="9.1796875" style="1"/>
  </cols>
  <sheetData>
    <row r="1" spans="2:16">
      <c r="B1" s="365" t="s">
        <v>0</v>
      </c>
      <c r="C1" s="365"/>
      <c r="D1" s="365"/>
      <c r="E1" s="365"/>
      <c r="F1" s="365"/>
      <c r="G1" s="2"/>
    </row>
    <row r="2" spans="2:16" ht="14.5" thickBot="1"/>
    <row r="3" spans="2:16" ht="28.5" thickBot="1">
      <c r="B3" s="3" t="s">
        <v>1</v>
      </c>
      <c r="C3" s="271" t="s">
        <v>2</v>
      </c>
      <c r="D3" s="271" t="s">
        <v>3</v>
      </c>
      <c r="E3" s="146" t="s">
        <v>4</v>
      </c>
      <c r="F3" s="4" t="s">
        <v>5</v>
      </c>
    </row>
    <row r="4" spans="2:16">
      <c r="B4" s="5" t="s">
        <v>6</v>
      </c>
      <c r="C4" s="276">
        <v>191.4598</v>
      </c>
      <c r="D4" s="277">
        <f>'CNL Allocation '!G10</f>
        <v>193.31049999999999</v>
      </c>
      <c r="E4" s="157">
        <f>C4-D4</f>
        <v>-1.8506999999999891</v>
      </c>
      <c r="F4" s="6"/>
      <c r="G4" s="316"/>
      <c r="N4" s="363"/>
      <c r="P4" s="363"/>
    </row>
    <row r="5" spans="2:16">
      <c r="B5" s="7" t="s">
        <v>7</v>
      </c>
      <c r="C5" s="278">
        <v>217.12</v>
      </c>
      <c r="D5" s="281">
        <f>'NPDC JV ALLOCATION'!K10</f>
        <v>198.45198763853367</v>
      </c>
      <c r="E5" s="153">
        <f>C5-D5</f>
        <v>18.668012361466339</v>
      </c>
      <c r="F5" s="8"/>
      <c r="G5" s="316"/>
      <c r="N5" s="363"/>
      <c r="P5" s="363"/>
    </row>
    <row r="6" spans="2:16">
      <c r="B6" s="7" t="s">
        <v>8</v>
      </c>
      <c r="C6" s="278">
        <v>95.73</v>
      </c>
      <c r="D6" s="281">
        <f>'NEPL-Oredo'!E10</f>
        <v>90</v>
      </c>
      <c r="E6" s="153">
        <f t="shared" ref="E6:E14" si="0">C6-D6</f>
        <v>5.730000000000004</v>
      </c>
      <c r="F6" s="8"/>
      <c r="G6" s="316"/>
      <c r="O6" s="363"/>
    </row>
    <row r="7" spans="2:16">
      <c r="B7" s="9" t="s">
        <v>9</v>
      </c>
      <c r="C7" s="319">
        <v>0</v>
      </c>
      <c r="D7" s="282">
        <f>'NPDC Neconde'!E10</f>
        <v>0</v>
      </c>
      <c r="E7" s="153">
        <f t="shared" si="0"/>
        <v>0</v>
      </c>
      <c r="F7" s="8"/>
      <c r="G7" s="316"/>
      <c r="O7" s="363"/>
    </row>
    <row r="8" spans="2:16">
      <c r="B8" s="9" t="s">
        <v>10</v>
      </c>
      <c r="C8" s="319">
        <v>60</v>
      </c>
      <c r="D8" s="283">
        <f>'Panocean Allocation'!E10</f>
        <v>55</v>
      </c>
      <c r="E8" s="157">
        <f t="shared" si="0"/>
        <v>5</v>
      </c>
      <c r="F8" s="8"/>
      <c r="G8" s="316"/>
      <c r="H8" s="363"/>
      <c r="N8" s="363"/>
      <c r="P8" s="363"/>
    </row>
    <row r="9" spans="2:16">
      <c r="B9" s="9" t="s">
        <v>11</v>
      </c>
      <c r="C9" s="319">
        <v>15.429500000000001</v>
      </c>
      <c r="D9" s="283">
        <f>Xenergi!E10</f>
        <v>10</v>
      </c>
      <c r="E9" s="153">
        <f t="shared" si="0"/>
        <v>5.4295000000000009</v>
      </c>
      <c r="F9" s="10"/>
      <c r="G9" s="316"/>
      <c r="H9" s="363"/>
      <c r="N9" s="363"/>
      <c r="P9" s="363"/>
    </row>
    <row r="10" spans="2:16">
      <c r="B10" s="9" t="s">
        <v>12</v>
      </c>
      <c r="C10" s="319">
        <v>133</v>
      </c>
      <c r="D10" s="283">
        <f>'AHL Allocation '!E10</f>
        <v>115</v>
      </c>
      <c r="E10" s="153">
        <f t="shared" si="0"/>
        <v>18</v>
      </c>
      <c r="F10" s="10"/>
      <c r="G10" s="316"/>
      <c r="I10" s="363"/>
      <c r="M10" s="363"/>
      <c r="O10" s="363"/>
    </row>
    <row r="11" spans="2:16">
      <c r="B11" s="9" t="s">
        <v>13</v>
      </c>
      <c r="C11" s="319">
        <v>26.678999999999998</v>
      </c>
      <c r="D11" s="283">
        <f>'PPL Allocation  '!E10</f>
        <v>25</v>
      </c>
      <c r="E11" s="153">
        <f t="shared" si="0"/>
        <v>1.6789999999999985</v>
      </c>
      <c r="F11" s="10"/>
      <c r="G11" s="316"/>
      <c r="I11" s="363"/>
      <c r="J11" s="172"/>
      <c r="M11" s="363"/>
      <c r="O11" s="363"/>
    </row>
    <row r="12" spans="2:16">
      <c r="B12" s="9" t="s">
        <v>14</v>
      </c>
      <c r="C12" s="319">
        <v>19.879799999999999</v>
      </c>
      <c r="D12" s="283">
        <f>Chorus!D8</f>
        <v>15</v>
      </c>
      <c r="E12" s="153">
        <f t="shared" si="0"/>
        <v>4.8797999999999995</v>
      </c>
      <c r="F12" s="10"/>
      <c r="G12" s="316"/>
      <c r="I12" s="322"/>
      <c r="J12" s="172"/>
      <c r="M12" s="322"/>
      <c r="O12" s="322"/>
    </row>
    <row r="13" spans="2:16">
      <c r="B13" s="9" t="s">
        <v>15</v>
      </c>
      <c r="C13" s="319">
        <v>122.99</v>
      </c>
      <c r="D13" s="283">
        <f>SPDC!E10</f>
        <v>90.301512361466322</v>
      </c>
      <c r="E13" s="153">
        <f t="shared" si="0"/>
        <v>32.688487638533672</v>
      </c>
      <c r="F13" s="10"/>
      <c r="G13" s="316"/>
      <c r="H13" s="364"/>
      <c r="N13" s="363"/>
      <c r="P13" s="363"/>
    </row>
    <row r="14" spans="2:16" ht="14.5" thickBot="1">
      <c r="B14" s="9" t="s">
        <v>16</v>
      </c>
      <c r="C14" s="319">
        <v>253.25200000000001</v>
      </c>
      <c r="D14" s="283">
        <f>'Seplat (Oben)  Allocation'!G10</f>
        <v>239</v>
      </c>
      <c r="E14" s="154">
        <f t="shared" si="0"/>
        <v>14.25200000000001</v>
      </c>
      <c r="F14" s="10"/>
      <c r="G14" s="316"/>
      <c r="H14" s="364"/>
      <c r="N14" s="363"/>
      <c r="P14" s="363"/>
    </row>
    <row r="15" spans="2:16" ht="14.5" thickBot="1">
      <c r="B15" s="11" t="s">
        <v>17</v>
      </c>
      <c r="C15" s="291">
        <f>SUM(C4:C14)</f>
        <v>1135.5400999999999</v>
      </c>
      <c r="D15" s="284">
        <f>SUM(D4:D14)</f>
        <v>1031.0639999999999</v>
      </c>
      <c r="E15" s="155">
        <f>SUM(E4:E14)</f>
        <v>104.47610000000005</v>
      </c>
      <c r="F15" s="12"/>
      <c r="G15" s="26"/>
      <c r="H15" s="26"/>
    </row>
    <row r="16" spans="2:16" ht="14.5" thickBot="1">
      <c r="F16" s="249"/>
    </row>
    <row r="17" spans="2:10" ht="14.5" thickBot="1">
      <c r="B17" s="13" t="s">
        <v>18</v>
      </c>
      <c r="C17" s="272" t="s">
        <v>19</v>
      </c>
      <c r="D17" s="274" t="s">
        <v>20</v>
      </c>
      <c r="E17" s="147" t="s">
        <v>21</v>
      </c>
      <c r="F17" s="14" t="s">
        <v>5</v>
      </c>
    </row>
    <row r="18" spans="2:10">
      <c r="B18" s="5" t="s">
        <v>22</v>
      </c>
      <c r="C18" s="276">
        <v>105.886</v>
      </c>
      <c r="D18" s="277">
        <f>'CNL Allocation '!D8+'NPDC JV ALLOCATION'!H8</f>
        <v>150</v>
      </c>
      <c r="E18" s="156">
        <f>-(C18-D18)</f>
        <v>44.114000000000004</v>
      </c>
      <c r="F18" s="15"/>
      <c r="H18" s="1">
        <v>26</v>
      </c>
    </row>
    <row r="19" spans="2:10" ht="15" customHeight="1">
      <c r="B19" s="7" t="s">
        <v>23</v>
      </c>
      <c r="C19" s="320">
        <v>28.542000000000002</v>
      </c>
      <c r="D19" s="277">
        <f>C19</f>
        <v>28.542000000000002</v>
      </c>
      <c r="E19" s="153">
        <f>C19-D19</f>
        <v>0</v>
      </c>
      <c r="F19" s="16"/>
      <c r="G19" s="17"/>
      <c r="H19" s="26"/>
    </row>
    <row r="20" spans="2:10">
      <c r="B20" s="7" t="s">
        <v>24</v>
      </c>
      <c r="C20" s="321">
        <v>26.279</v>
      </c>
      <c r="D20" s="277">
        <f>C20</f>
        <v>26.279</v>
      </c>
      <c r="E20" s="153">
        <f>C20-D20</f>
        <v>0</v>
      </c>
      <c r="F20" s="16"/>
      <c r="G20" s="17"/>
      <c r="H20" s="26"/>
    </row>
    <row r="21" spans="2:10">
      <c r="B21" s="7" t="s">
        <v>25</v>
      </c>
      <c r="C21" s="278">
        <v>14.43</v>
      </c>
      <c r="D21" s="279">
        <f t="shared" ref="D21:D27" si="1">C21</f>
        <v>14.43</v>
      </c>
      <c r="E21" s="153">
        <f t="shared" ref="E21:E29" si="2">C21-D21</f>
        <v>0</v>
      </c>
      <c r="F21" s="16"/>
    </row>
    <row r="22" spans="2:10" ht="15" customHeight="1">
      <c r="B22" s="7" t="s">
        <v>26</v>
      </c>
      <c r="C22" s="278">
        <v>68.100999999999999</v>
      </c>
      <c r="D22" s="277">
        <f t="shared" si="1"/>
        <v>68.100999999999999</v>
      </c>
      <c r="E22" s="153">
        <f t="shared" si="2"/>
        <v>0</v>
      </c>
      <c r="F22" s="16"/>
      <c r="J22" s="317"/>
    </row>
    <row r="23" spans="2:10">
      <c r="B23" s="7" t="s">
        <v>27</v>
      </c>
      <c r="C23" s="278">
        <v>18.231999999999999</v>
      </c>
      <c r="D23" s="277">
        <f t="shared" si="1"/>
        <v>18.231999999999999</v>
      </c>
      <c r="E23" s="157">
        <f t="shared" si="2"/>
        <v>0</v>
      </c>
      <c r="F23" s="16"/>
      <c r="H23" s="26"/>
    </row>
    <row r="24" spans="2:10">
      <c r="B24" s="7" t="s">
        <v>28</v>
      </c>
      <c r="C24" s="278">
        <v>95.106999999999999</v>
      </c>
      <c r="D24" s="277">
        <f>'Seplat (Oben)  Allocation'!E8</f>
        <v>97</v>
      </c>
      <c r="E24" s="157">
        <f>-(C24-D24)</f>
        <v>1.8930000000000007</v>
      </c>
      <c r="F24" s="18"/>
      <c r="H24" s="19"/>
    </row>
    <row r="25" spans="2:10" ht="17.25" customHeight="1">
      <c r="B25" s="7" t="s">
        <v>29</v>
      </c>
      <c r="C25" s="278">
        <v>0</v>
      </c>
      <c r="D25" s="277">
        <f t="shared" si="1"/>
        <v>0</v>
      </c>
      <c r="E25" s="157">
        <f t="shared" si="2"/>
        <v>0</v>
      </c>
      <c r="F25" s="16"/>
    </row>
    <row r="26" spans="2:10">
      <c r="B26" s="7" t="s">
        <v>30</v>
      </c>
      <c r="C26" s="278">
        <v>31.57</v>
      </c>
      <c r="D26" s="277">
        <f t="shared" si="1"/>
        <v>31.57</v>
      </c>
      <c r="E26" s="153">
        <f t="shared" si="2"/>
        <v>0</v>
      </c>
      <c r="F26" s="16" t="s">
        <v>31</v>
      </c>
    </row>
    <row r="27" spans="2:10">
      <c r="B27" s="7" t="s">
        <v>32</v>
      </c>
      <c r="C27" s="278">
        <v>0</v>
      </c>
      <c r="D27" s="277">
        <f t="shared" si="1"/>
        <v>0</v>
      </c>
      <c r="E27" s="153">
        <f>C27-D27</f>
        <v>0</v>
      </c>
      <c r="F27" s="295"/>
    </row>
    <row r="28" spans="2:10">
      <c r="B28" s="7" t="s">
        <v>33</v>
      </c>
      <c r="C28" s="278">
        <v>0</v>
      </c>
      <c r="D28" s="277">
        <f>C28</f>
        <v>0</v>
      </c>
      <c r="E28" s="153">
        <f>C28-D28</f>
        <v>0</v>
      </c>
      <c r="F28" s="16"/>
    </row>
    <row r="29" spans="2:10" ht="14.5" thickBot="1">
      <c r="B29" s="9" t="s">
        <v>34</v>
      </c>
      <c r="C29" s="321">
        <v>25.91</v>
      </c>
      <c r="D29" s="280">
        <f>C29</f>
        <v>25.91</v>
      </c>
      <c r="E29" s="154">
        <f t="shared" si="2"/>
        <v>0</v>
      </c>
      <c r="F29" s="20" t="s">
        <v>31</v>
      </c>
    </row>
    <row r="30" spans="2:10" ht="14.5" thickBot="1">
      <c r="B30" s="21" t="s">
        <v>17</v>
      </c>
      <c r="C30" s="289">
        <f>SUM(C18:C29)</f>
        <v>414.05700000000002</v>
      </c>
      <c r="D30" s="290">
        <f>SUM(D18:D29)</f>
        <v>460.06399999999996</v>
      </c>
      <c r="E30" s="158">
        <f>SUM(E18:E29)</f>
        <v>46.007000000000005</v>
      </c>
      <c r="F30" s="22"/>
    </row>
    <row r="31" spans="2:10" ht="14.5" thickBot="1"/>
    <row r="32" spans="2:10" ht="28.5" thickBot="1">
      <c r="B32" s="23" t="s">
        <v>35</v>
      </c>
      <c r="C32" s="271" t="s">
        <v>36</v>
      </c>
      <c r="D32" s="271" t="s">
        <v>37</v>
      </c>
      <c r="E32" s="148" t="s">
        <v>38</v>
      </c>
    </row>
    <row r="33" spans="2:6">
      <c r="B33" s="24" t="s">
        <v>39</v>
      </c>
      <c r="C33" s="285">
        <f>'NGML Gas Allocation '!E21</f>
        <v>330</v>
      </c>
      <c r="D33" s="286">
        <f>'NGML Gas Allocation '!D27</f>
        <v>326.70999999999998</v>
      </c>
      <c r="E33" s="159">
        <f>C33-D33</f>
        <v>3.2900000000000205</v>
      </c>
      <c r="F33" s="293"/>
    </row>
    <row r="34" spans="2:6" ht="14.5" thickBot="1">
      <c r="B34" s="25" t="s">
        <v>40</v>
      </c>
      <c r="C34" s="287"/>
      <c r="D34" s="288"/>
      <c r="E34" s="160">
        <f>E33</f>
        <v>3.2900000000000205</v>
      </c>
      <c r="F34" s="292"/>
    </row>
    <row r="35" spans="2:6">
      <c r="D35" s="275"/>
      <c r="E35" s="145"/>
      <c r="F35" s="17"/>
    </row>
  </sheetData>
  <mergeCells count="13">
    <mergeCell ref="N4:N5"/>
    <mergeCell ref="O6:O7"/>
    <mergeCell ref="P8:P9"/>
    <mergeCell ref="O10:O11"/>
    <mergeCell ref="N13:N14"/>
    <mergeCell ref="P13:P14"/>
    <mergeCell ref="P4:P5"/>
    <mergeCell ref="N8:N9"/>
    <mergeCell ref="H8:H9"/>
    <mergeCell ref="I10:I11"/>
    <mergeCell ref="H13:H14"/>
    <mergeCell ref="B1:F1"/>
    <mergeCell ref="M10:M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2:F32"/>
  <sheetViews>
    <sheetView topLeftCell="B1" zoomScale="86" zoomScaleNormal="86" workbookViewId="0">
      <selection activeCell="D16" sqref="D16"/>
    </sheetView>
  </sheetViews>
  <sheetFormatPr defaultColWidth="9.1796875" defaultRowHeight="14"/>
  <cols>
    <col min="1" max="1" width="3.26953125" style="1" customWidth="1"/>
    <col min="2" max="2" width="26.7265625" style="1" customWidth="1"/>
    <col min="3" max="3" width="17" style="1" customWidth="1"/>
    <col min="4" max="4" width="17.54296875" style="1" customWidth="1"/>
    <col min="5" max="5" width="17.1796875" style="1" bestFit="1" customWidth="1"/>
    <col min="6" max="16384" width="9.1796875" style="1"/>
  </cols>
  <sheetData>
    <row r="2" spans="2:5" ht="14.5" thickBot="1">
      <c r="B2" s="373" t="s">
        <v>41</v>
      </c>
      <c r="C2" s="373"/>
      <c r="D2" s="373"/>
      <c r="E2" s="373"/>
    </row>
    <row r="3" spans="2:5" ht="42">
      <c r="B3" s="27" t="s">
        <v>42</v>
      </c>
      <c r="C3" s="28" t="s">
        <v>43</v>
      </c>
      <c r="D3" s="28" t="s">
        <v>44</v>
      </c>
      <c r="E3" s="29" t="s">
        <v>45</v>
      </c>
    </row>
    <row r="4" spans="2:5">
      <c r="B4" s="30" t="s">
        <v>46</v>
      </c>
      <c r="C4" s="31">
        <v>25</v>
      </c>
      <c r="D4" s="31">
        <v>25</v>
      </c>
      <c r="E4" s="32">
        <f>'CNL Allocation '!F8</f>
        <v>25</v>
      </c>
    </row>
    <row r="5" spans="2:5">
      <c r="B5" s="30" t="s">
        <v>47</v>
      </c>
      <c r="C5" s="33">
        <v>55</v>
      </c>
      <c r="D5" s="31">
        <v>55</v>
      </c>
      <c r="E5" s="32">
        <f>'NPDC JV ALLOCATION'!G8</f>
        <v>55</v>
      </c>
    </row>
    <row r="6" spans="2:5">
      <c r="B6" s="30" t="s">
        <v>48</v>
      </c>
      <c r="C6" s="33">
        <v>35</v>
      </c>
      <c r="D6" s="31">
        <v>35</v>
      </c>
      <c r="E6" s="32">
        <f>'NEPL-Oredo'!D8</f>
        <v>35</v>
      </c>
    </row>
    <row r="7" spans="2:5">
      <c r="B7" s="30" t="s">
        <v>49</v>
      </c>
      <c r="C7" s="31">
        <v>0</v>
      </c>
      <c r="D7" s="31">
        <f t="shared" ref="D7:D14" si="0">C7*$E$2</f>
        <v>0</v>
      </c>
      <c r="E7" s="32">
        <f>'NPDC Neconde'!F6</f>
        <v>0</v>
      </c>
    </row>
    <row r="8" spans="2:5">
      <c r="B8" s="30" t="s">
        <v>50</v>
      </c>
      <c r="C8" s="33">
        <v>20</v>
      </c>
      <c r="D8" s="31">
        <v>20</v>
      </c>
      <c r="E8" s="32">
        <f>Oceandaire!D8</f>
        <v>20</v>
      </c>
    </row>
    <row r="9" spans="2:5" ht="28" customHeight="1">
      <c r="B9" s="30" t="s">
        <v>51</v>
      </c>
      <c r="C9" s="31">
        <v>0</v>
      </c>
      <c r="D9" s="31">
        <f t="shared" si="0"/>
        <v>0</v>
      </c>
      <c r="E9" s="32">
        <v>0</v>
      </c>
    </row>
    <row r="10" spans="2:5">
      <c r="B10" s="30" t="s">
        <v>52</v>
      </c>
      <c r="C10" s="33">
        <v>30</v>
      </c>
      <c r="D10" s="31">
        <v>30</v>
      </c>
      <c r="E10" s="32">
        <f>'Seplat (Oben)  Allocation'!G8</f>
        <v>30</v>
      </c>
    </row>
    <row r="11" spans="2:5">
      <c r="B11" s="30" t="s">
        <v>53</v>
      </c>
      <c r="C11" s="33">
        <v>0</v>
      </c>
      <c r="D11" s="31">
        <f t="shared" si="0"/>
        <v>0</v>
      </c>
      <c r="E11" s="32">
        <f>D11</f>
        <v>0</v>
      </c>
    </row>
    <row r="12" spans="2:5">
      <c r="B12" s="30" t="s">
        <v>54</v>
      </c>
      <c r="C12" s="33">
        <v>100</v>
      </c>
      <c r="D12" s="31">
        <v>95</v>
      </c>
      <c r="E12" s="32">
        <f>'AHL Allocation '!D8</f>
        <v>100</v>
      </c>
    </row>
    <row r="13" spans="2:5">
      <c r="B13" s="30" t="s">
        <v>55</v>
      </c>
      <c r="C13" s="33">
        <v>20</v>
      </c>
      <c r="D13" s="31">
        <v>20</v>
      </c>
      <c r="E13" s="32">
        <f>'PPL Allocation  '!D8</f>
        <v>20</v>
      </c>
    </row>
    <row r="14" spans="2:5">
      <c r="B14" s="30" t="s">
        <v>56</v>
      </c>
      <c r="C14" s="33">
        <v>0</v>
      </c>
      <c r="D14" s="31">
        <f t="shared" si="0"/>
        <v>0</v>
      </c>
      <c r="E14" s="32">
        <f>Gashub!D9</f>
        <v>0</v>
      </c>
    </row>
    <row r="15" spans="2:5">
      <c r="B15" s="30" t="s">
        <v>57</v>
      </c>
      <c r="C15" s="33">
        <v>10</v>
      </c>
      <c r="D15" s="31">
        <v>10</v>
      </c>
      <c r="E15" s="32">
        <f>Xenergi!D8</f>
        <v>10</v>
      </c>
    </row>
    <row r="16" spans="2:5">
      <c r="B16" s="30" t="s">
        <v>58</v>
      </c>
      <c r="C16" s="31">
        <v>20</v>
      </c>
      <c r="D16" s="31">
        <v>20</v>
      </c>
      <c r="E16" s="32">
        <f>MSN!D8</f>
        <v>20</v>
      </c>
    </row>
    <row r="17" spans="2:6">
      <c r="B17" s="30" t="s">
        <v>59</v>
      </c>
      <c r="C17" s="33">
        <v>10</v>
      </c>
      <c r="D17" s="31">
        <v>10</v>
      </c>
      <c r="E17" s="32">
        <f>Tetracore!D8</f>
        <v>10</v>
      </c>
    </row>
    <row r="18" spans="2:6">
      <c r="B18" s="30" t="s">
        <v>60</v>
      </c>
      <c r="C18" s="33">
        <v>5</v>
      </c>
      <c r="D18" s="31">
        <v>5</v>
      </c>
      <c r="E18" s="32">
        <f>PCC!D8</f>
        <v>5</v>
      </c>
    </row>
    <row r="19" spans="2:6">
      <c r="B19" s="30" t="s">
        <v>61</v>
      </c>
      <c r="C19" s="33">
        <v>10</v>
      </c>
      <c r="D19" s="31">
        <v>10</v>
      </c>
      <c r="E19" s="32">
        <v>0</v>
      </c>
    </row>
    <row r="20" spans="2:6">
      <c r="B20" s="30" t="s">
        <v>62</v>
      </c>
      <c r="C20" s="33">
        <v>15</v>
      </c>
      <c r="D20" s="31">
        <v>15</v>
      </c>
      <c r="E20" s="32">
        <f>Chorus!D8</f>
        <v>15</v>
      </c>
    </row>
    <row r="21" spans="2:6">
      <c r="B21" s="30" t="s">
        <v>63</v>
      </c>
      <c r="C21" s="31"/>
      <c r="D21" s="34"/>
      <c r="E21" s="32">
        <f>SUM(E4:E18)</f>
        <v>330</v>
      </c>
    </row>
    <row r="22" spans="2:6" ht="14.5" thickBot="1">
      <c r="B22" s="35" t="s">
        <v>64</v>
      </c>
      <c r="C22" s="162">
        <f>SUM(C4:C20)</f>
        <v>355</v>
      </c>
      <c r="D22" s="162">
        <f>SUM(D4:D20)</f>
        <v>350</v>
      </c>
      <c r="E22" s="36">
        <f>E21</f>
        <v>330</v>
      </c>
    </row>
    <row r="23" spans="2:6">
      <c r="B23" s="37"/>
      <c r="C23" s="37"/>
      <c r="D23" s="315"/>
      <c r="E23" s="38"/>
    </row>
    <row r="24" spans="2:6" ht="14.5" thickBot="1">
      <c r="B24" s="366" t="s">
        <v>65</v>
      </c>
      <c r="C24" s="366"/>
      <c r="D24" s="366"/>
      <c r="E24" s="366"/>
    </row>
    <row r="25" spans="2:6" ht="32.25" customHeight="1">
      <c r="B25" s="367" t="s">
        <v>66</v>
      </c>
      <c r="C25" s="368"/>
      <c r="D25" s="302">
        <v>326.70999999999998</v>
      </c>
      <c r="E25" s="39"/>
      <c r="F25" s="26"/>
    </row>
    <row r="26" spans="2:6">
      <c r="B26" s="371" t="s">
        <v>67</v>
      </c>
      <c r="C26" s="372"/>
      <c r="D26" s="214">
        <f>QSL!E14</f>
        <v>0</v>
      </c>
      <c r="E26" s="39"/>
      <c r="F26" s="273"/>
    </row>
    <row r="27" spans="2:6" ht="14.5" thickBot="1">
      <c r="B27" s="369" t="s">
        <v>68</v>
      </c>
      <c r="C27" s="370"/>
      <c r="D27" s="40">
        <f>D25+D26</f>
        <v>326.70999999999998</v>
      </c>
      <c r="E27" s="26"/>
    </row>
    <row r="28" spans="2:6">
      <c r="E28" s="26"/>
    </row>
    <row r="29" spans="2:6">
      <c r="E29" s="26"/>
    </row>
    <row r="30" spans="2:6">
      <c r="E30" s="26"/>
    </row>
    <row r="31" spans="2:6">
      <c r="E31" s="26"/>
    </row>
    <row r="32" spans="2:6">
      <c r="E32" s="26"/>
    </row>
  </sheetData>
  <mergeCells count="5">
    <mergeCell ref="B24:E24"/>
    <mergeCell ref="B25:C25"/>
    <mergeCell ref="B27:C27"/>
    <mergeCell ref="B26:C26"/>
    <mergeCell ref="B2:E2"/>
  </mergeCells>
  <phoneticPr fontId="7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topLeftCell="B1" zoomScale="90" zoomScaleNormal="90" workbookViewId="0">
      <selection activeCell="C8" sqref="C8"/>
    </sheetView>
  </sheetViews>
  <sheetFormatPr defaultColWidth="9.1796875" defaultRowHeight="12.5"/>
  <cols>
    <col min="1" max="1" width="3.81640625" style="44" customWidth="1"/>
    <col min="2" max="2" width="18.7265625" style="44" customWidth="1"/>
    <col min="3" max="3" width="19.26953125" style="152" customWidth="1"/>
    <col min="4" max="4" width="16.453125" style="44" bestFit="1" customWidth="1"/>
    <col min="5" max="5" width="15" style="44" customWidth="1"/>
    <col min="6" max="6" width="16.453125" style="44" bestFit="1" customWidth="1"/>
    <col min="7" max="7" width="11" style="44" bestFit="1" customWidth="1"/>
    <col min="8" max="8" width="9.453125" style="44" customWidth="1"/>
    <col min="9" max="9" width="9.1796875" style="44" customWidth="1"/>
    <col min="10" max="10" width="9.7265625" style="44" bestFit="1" customWidth="1"/>
    <col min="11" max="11" width="11.54296875" style="44" customWidth="1"/>
    <col min="12" max="12" width="22.54296875" style="44" customWidth="1"/>
    <col min="13" max="16384" width="9.1796875" style="44"/>
  </cols>
  <sheetData>
    <row r="1" spans="2:11" ht="13" thickBot="1">
      <c r="B1" s="41"/>
      <c r="C1" s="149"/>
    </row>
    <row r="2" spans="2:11" ht="13.5" thickBot="1">
      <c r="B2" s="374" t="s">
        <v>41</v>
      </c>
      <c r="C2" s="375"/>
      <c r="D2" s="375"/>
      <c r="E2" s="375"/>
      <c r="F2" s="376"/>
      <c r="G2" s="45"/>
      <c r="H2" s="45"/>
      <c r="I2" s="45"/>
      <c r="J2" s="45"/>
      <c r="K2" s="45"/>
    </row>
    <row r="3" spans="2:11" s="51" customFormat="1" ht="45.75" customHeight="1">
      <c r="B3" s="173"/>
      <c r="C3" s="312" t="s">
        <v>69</v>
      </c>
      <c r="D3" s="175" t="s">
        <v>70</v>
      </c>
      <c r="E3" s="175"/>
      <c r="F3" s="176" t="s">
        <v>71</v>
      </c>
      <c r="H3" s="377"/>
      <c r="I3" s="378"/>
    </row>
    <row r="4" spans="2:11">
      <c r="B4" s="101" t="s">
        <v>72</v>
      </c>
      <c r="C4" s="150"/>
      <c r="D4" s="54">
        <f>'NGML Gas Allocation '!D22/30</f>
        <v>11.666666666666666</v>
      </c>
      <c r="E4" s="54"/>
      <c r="F4" s="102"/>
    </row>
    <row r="5" spans="2:11">
      <c r="B5" s="101" t="s">
        <v>73</v>
      </c>
      <c r="C5" s="150"/>
      <c r="D5" s="313">
        <v>30</v>
      </c>
      <c r="E5" s="313"/>
      <c r="F5" s="102"/>
    </row>
    <row r="6" spans="2:11">
      <c r="B6" s="101" t="s">
        <v>74</v>
      </c>
      <c r="C6" s="150"/>
      <c r="D6" s="132">
        <f>D4*D5</f>
        <v>350</v>
      </c>
      <c r="E6" s="132"/>
      <c r="F6" s="102"/>
      <c r="G6" s="91"/>
    </row>
    <row r="7" spans="2:11">
      <c r="B7" s="101" t="s">
        <v>75</v>
      </c>
      <c r="C7" s="117">
        <f>'NGML Gas Allocation '!D27</f>
        <v>326.70999999999998</v>
      </c>
      <c r="D7" s="88">
        <f>'NGML Gas Allocation '!E22</f>
        <v>330</v>
      </c>
      <c r="E7" s="88"/>
      <c r="F7" s="102">
        <f>D7-C7</f>
        <v>3.2900000000000205</v>
      </c>
      <c r="G7" s="58"/>
    </row>
    <row r="8" spans="2:11">
      <c r="B8" s="101"/>
      <c r="C8" s="150"/>
      <c r="D8" s="78"/>
      <c r="E8" s="92"/>
      <c r="F8" s="103"/>
      <c r="G8" s="58"/>
      <c r="H8" s="58"/>
    </row>
    <row r="9" spans="2:11" ht="13.5" thickBot="1">
      <c r="B9" s="104" t="s">
        <v>76</v>
      </c>
      <c r="C9" s="63">
        <f t="shared" ref="C9:E9" si="0">C7</f>
        <v>326.70999999999998</v>
      </c>
      <c r="D9" s="63">
        <f t="shared" si="0"/>
        <v>330</v>
      </c>
      <c r="E9" s="63">
        <f t="shared" si="0"/>
        <v>0</v>
      </c>
      <c r="F9" s="106">
        <f>F7</f>
        <v>3.2900000000000205</v>
      </c>
      <c r="G9" s="58"/>
      <c r="H9" s="58"/>
    </row>
    <row r="10" spans="2:11" ht="13">
      <c r="B10" s="189"/>
      <c r="C10" s="307"/>
      <c r="D10" s="191"/>
      <c r="E10" s="191"/>
      <c r="F10" s="193"/>
      <c r="G10" s="58"/>
      <c r="H10" s="58"/>
    </row>
    <row r="11" spans="2:11" ht="13">
      <c r="B11" s="189"/>
      <c r="C11" s="307"/>
      <c r="D11" s="192"/>
      <c r="E11" s="192"/>
      <c r="F11" s="193"/>
      <c r="G11" s="58"/>
      <c r="H11" s="58"/>
      <c r="I11" s="58"/>
      <c r="J11" s="58"/>
      <c r="K11" s="58"/>
    </row>
    <row r="12" spans="2:11" ht="13">
      <c r="B12" s="379" t="s">
        <v>77</v>
      </c>
      <c r="C12" s="380"/>
      <c r="D12" s="138">
        <f>D9</f>
        <v>330</v>
      </c>
      <c r="E12" s="138"/>
      <c r="F12" s="193"/>
      <c r="G12" s="58"/>
    </row>
    <row r="13" spans="2:11" ht="17.25" customHeight="1" thickBot="1">
      <c r="B13" s="196"/>
      <c r="C13" s="314"/>
      <c r="D13" s="197"/>
      <c r="E13" s="197"/>
      <c r="F13" s="198"/>
    </row>
    <row r="14" spans="2:11" ht="13" thickTop="1"/>
  </sheetData>
  <mergeCells count="3">
    <mergeCell ref="B2:F2"/>
    <mergeCell ref="H3:I3"/>
    <mergeCell ref="B12:C1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B1:S18"/>
  <sheetViews>
    <sheetView showGridLines="0" zoomScale="82" zoomScaleNormal="82" workbookViewId="0">
      <selection activeCell="H19" sqref="H19"/>
    </sheetView>
  </sheetViews>
  <sheetFormatPr defaultColWidth="9.1796875" defaultRowHeight="12.5"/>
  <cols>
    <col min="1" max="1" width="9.1796875" style="44"/>
    <col min="2" max="2" width="26.1796875" style="44" customWidth="1"/>
    <col min="3" max="3" width="13" style="44" customWidth="1"/>
    <col min="4" max="4" width="10.54296875" style="44" customWidth="1"/>
    <col min="5" max="5" width="11.1796875" style="44" bestFit="1" customWidth="1"/>
    <col min="6" max="6" width="11.1796875" style="44" customWidth="1"/>
    <col min="7" max="9" width="11.81640625" style="44" customWidth="1"/>
    <col min="10" max="10" width="11.453125" style="44" customWidth="1"/>
    <col min="11" max="11" width="12.1796875" style="44" customWidth="1"/>
    <col min="12" max="12" width="12.7265625" style="44" customWidth="1"/>
    <col min="13" max="13" width="12.81640625" style="44" customWidth="1"/>
    <col min="14" max="14" width="11.7265625" style="44" customWidth="1"/>
    <col min="15" max="15" width="15.26953125" style="44" bestFit="1" customWidth="1"/>
    <col min="16" max="16" width="11.7265625" style="44" customWidth="1"/>
    <col min="17" max="17" width="3.453125" style="44" customWidth="1"/>
    <col min="18" max="19" width="15.54296875" style="44" bestFit="1" customWidth="1"/>
    <col min="20" max="20" width="22.54296875" style="44" customWidth="1"/>
    <col min="21" max="16384" width="9.1796875" style="44"/>
  </cols>
  <sheetData>
    <row r="1" spans="2:19" ht="13" thickBot="1"/>
    <row r="2" spans="2:19" ht="13.5" thickBot="1">
      <c r="B2" s="383" t="s">
        <v>78</v>
      </c>
      <c r="C2" s="384"/>
      <c r="D2" s="384"/>
      <c r="E2" s="384"/>
      <c r="F2" s="384"/>
      <c r="G2" s="384"/>
      <c r="H2" s="384"/>
      <c r="I2" s="384"/>
      <c r="J2" s="384"/>
      <c r="K2" s="384"/>
      <c r="L2" s="384"/>
      <c r="M2" s="384"/>
      <c r="N2" s="384"/>
      <c r="O2" s="385"/>
    </row>
    <row r="3" spans="2:19" s="51" customFormat="1" ht="26">
      <c r="B3" s="81"/>
      <c r="C3" s="82" t="s">
        <v>79</v>
      </c>
      <c r="D3" s="83" t="s">
        <v>80</v>
      </c>
      <c r="E3" s="83" t="s">
        <v>81</v>
      </c>
      <c r="F3" s="83" t="s">
        <v>82</v>
      </c>
      <c r="G3" s="83" t="s">
        <v>83</v>
      </c>
      <c r="H3" s="83" t="s">
        <v>84</v>
      </c>
      <c r="I3" s="83" t="s">
        <v>85</v>
      </c>
      <c r="J3" s="83" t="s">
        <v>71</v>
      </c>
      <c r="K3" s="83" t="s">
        <v>86</v>
      </c>
      <c r="L3" s="83" t="s">
        <v>87</v>
      </c>
      <c r="M3" s="83" t="s">
        <v>88</v>
      </c>
      <c r="N3" s="83" t="s">
        <v>89</v>
      </c>
      <c r="O3" s="84" t="s">
        <v>90</v>
      </c>
      <c r="Q3" s="85"/>
    </row>
    <row r="4" spans="2:19">
      <c r="B4" s="52" t="s">
        <v>91</v>
      </c>
      <c r="C4" s="78"/>
      <c r="D4" s="325">
        <v>1</v>
      </c>
      <c r="E4" s="325">
        <v>45</v>
      </c>
      <c r="F4" s="325">
        <v>26</v>
      </c>
      <c r="G4" s="325">
        <v>55</v>
      </c>
      <c r="H4" s="325">
        <v>45</v>
      </c>
      <c r="I4" s="325">
        <v>5</v>
      </c>
      <c r="J4" s="326"/>
      <c r="K4" s="325">
        <v>5</v>
      </c>
      <c r="L4" s="325">
        <v>5</v>
      </c>
      <c r="M4" s="163">
        <v>5</v>
      </c>
      <c r="N4" s="163">
        <v>0</v>
      </c>
      <c r="O4" s="324"/>
    </row>
    <row r="5" spans="2:19">
      <c r="B5" s="52" t="s">
        <v>92</v>
      </c>
      <c r="C5" s="78"/>
      <c r="D5" s="163">
        <v>1</v>
      </c>
      <c r="E5" s="163">
        <v>45</v>
      </c>
      <c r="F5" s="163">
        <v>26</v>
      </c>
      <c r="G5" s="163">
        <v>55</v>
      </c>
      <c r="H5" s="163">
        <v>45</v>
      </c>
      <c r="I5" s="163">
        <v>5</v>
      </c>
      <c r="J5" s="323"/>
      <c r="K5" s="163">
        <v>5</v>
      </c>
      <c r="L5" s="163">
        <v>5</v>
      </c>
      <c r="M5" s="163">
        <v>5</v>
      </c>
      <c r="N5" s="163">
        <v>0</v>
      </c>
      <c r="O5" s="324"/>
      <c r="R5" s="91"/>
    </row>
    <row r="6" spans="2:19">
      <c r="B6" s="52" t="s">
        <v>93</v>
      </c>
      <c r="C6" s="59">
        <f>West_Summary!C5</f>
        <v>217.12</v>
      </c>
      <c r="D6" s="325">
        <f>D5</f>
        <v>1</v>
      </c>
      <c r="E6" s="325">
        <v>38.310499999999998</v>
      </c>
      <c r="F6" s="325">
        <f>SNG!C17/1000000</f>
        <v>20.268487638533678</v>
      </c>
      <c r="G6" s="325">
        <f t="shared" ref="G6:I6" si="0">G5</f>
        <v>55</v>
      </c>
      <c r="H6" s="163">
        <v>45</v>
      </c>
      <c r="I6" s="325">
        <f t="shared" si="0"/>
        <v>5</v>
      </c>
      <c r="J6" s="323">
        <f>C6-D6-E6-F6-G6-H6-I6</f>
        <v>52.541012361466329</v>
      </c>
      <c r="K6" s="331">
        <f>Pacific!D5</f>
        <v>17.665000000000003</v>
      </c>
      <c r="L6" s="164">
        <f>Pacific!D4</f>
        <v>11.778000000000002</v>
      </c>
      <c r="M6" s="164">
        <f>Transcorp!E6</f>
        <v>4.43</v>
      </c>
      <c r="N6" s="164">
        <f>N5</f>
        <v>0</v>
      </c>
      <c r="O6" s="324">
        <f>J6-K6-L6-M6-N6</f>
        <v>18.668012361466321</v>
      </c>
      <c r="P6" s="69"/>
      <c r="R6" s="58"/>
      <c r="S6" s="58"/>
    </row>
    <row r="7" spans="2:19">
      <c r="B7" s="52"/>
      <c r="C7" s="79"/>
      <c r="D7" s="163"/>
      <c r="E7" s="163"/>
      <c r="F7" s="327"/>
      <c r="G7" s="163"/>
      <c r="H7" s="163"/>
      <c r="I7" s="328"/>
      <c r="J7" s="163"/>
      <c r="K7" s="163"/>
      <c r="L7" s="163"/>
      <c r="M7" s="163"/>
      <c r="N7" s="163"/>
      <c r="O7" s="324"/>
      <c r="P7" s="58"/>
      <c r="R7" s="58"/>
    </row>
    <row r="8" spans="2:19" ht="13.5" thickBot="1">
      <c r="B8" s="62" t="s">
        <v>76</v>
      </c>
      <c r="C8" s="63">
        <f>C6+C7</f>
        <v>217.12</v>
      </c>
      <c r="D8" s="64">
        <f>D6</f>
        <v>1</v>
      </c>
      <c r="E8" s="64">
        <f t="shared" ref="E8:G8" si="1">E6</f>
        <v>38.310499999999998</v>
      </c>
      <c r="F8" s="64">
        <f t="shared" si="1"/>
        <v>20.268487638533678</v>
      </c>
      <c r="G8" s="64">
        <f t="shared" si="1"/>
        <v>55</v>
      </c>
      <c r="H8" s="64">
        <f>H6</f>
        <v>45</v>
      </c>
      <c r="I8" s="329">
        <f t="shared" ref="I8:O8" si="2">I6</f>
        <v>5</v>
      </c>
      <c r="J8" s="329">
        <f t="shared" si="2"/>
        <v>52.541012361466329</v>
      </c>
      <c r="K8" s="64">
        <f t="shared" si="2"/>
        <v>17.665000000000003</v>
      </c>
      <c r="L8" s="64">
        <f t="shared" si="2"/>
        <v>11.778000000000002</v>
      </c>
      <c r="M8" s="64">
        <f t="shared" si="2"/>
        <v>4.43</v>
      </c>
      <c r="N8" s="64">
        <f t="shared" si="2"/>
        <v>0</v>
      </c>
      <c r="O8" s="330">
        <f t="shared" si="2"/>
        <v>18.668012361466321</v>
      </c>
      <c r="P8" s="58"/>
      <c r="R8" s="58"/>
      <c r="S8" s="58"/>
    </row>
    <row r="9" spans="2:19">
      <c r="B9" s="73"/>
      <c r="C9" s="94"/>
      <c r="D9" s="94"/>
      <c r="E9" s="94"/>
      <c r="F9" s="94"/>
      <c r="G9" s="94"/>
      <c r="H9" s="94"/>
      <c r="I9" s="208"/>
      <c r="J9" s="94"/>
      <c r="K9" s="94"/>
      <c r="L9" s="94"/>
      <c r="M9" s="94"/>
      <c r="N9" s="94"/>
      <c r="O9" s="95"/>
      <c r="P9" s="58"/>
      <c r="R9" s="58"/>
    </row>
    <row r="10" spans="2:19" ht="14.5">
      <c r="B10" s="386" t="s">
        <v>77</v>
      </c>
      <c r="C10" s="387"/>
      <c r="D10" s="332"/>
      <c r="E10" s="71"/>
      <c r="F10" s="71"/>
      <c r="G10" s="71"/>
      <c r="H10" s="71"/>
      <c r="I10" s="71"/>
      <c r="K10" s="333">
        <f>D8+E8+F8+G8+I8+K8+L8+M8+H8+N8</f>
        <v>198.45198763853367</v>
      </c>
      <c r="L10" s="71"/>
      <c r="M10" s="58"/>
      <c r="N10" s="58"/>
      <c r="O10" s="96"/>
      <c r="P10" s="58"/>
      <c r="Q10" s="97"/>
      <c r="R10" s="58"/>
    </row>
    <row r="11" spans="2:19" ht="15" thickBot="1">
      <c r="B11" s="334"/>
      <c r="C11" s="335"/>
      <c r="D11" s="336"/>
      <c r="E11" s="336"/>
      <c r="F11" s="336"/>
      <c r="G11" s="336"/>
      <c r="H11" s="336"/>
      <c r="I11" s="336"/>
      <c r="J11" s="75"/>
      <c r="K11" s="337"/>
      <c r="L11" s="336"/>
      <c r="M11" s="75"/>
      <c r="N11" s="75"/>
      <c r="O11" s="76"/>
      <c r="P11" s="58"/>
    </row>
    <row r="12" spans="2:19">
      <c r="E12" s="381"/>
      <c r="F12" s="382"/>
      <c r="M12" s="58"/>
    </row>
    <row r="13" spans="2:19">
      <c r="B13" s="85"/>
      <c r="K13" s="69"/>
      <c r="L13" s="69"/>
      <c r="M13" s="69"/>
      <c r="N13" s="69"/>
    </row>
    <row r="14" spans="2:19">
      <c r="M14" s="58"/>
      <c r="N14" s="58"/>
    </row>
    <row r="17" spans="5:14">
      <c r="E17" s="58"/>
    </row>
    <row r="18" spans="5:14">
      <c r="M18" s="69"/>
      <c r="N18" s="69"/>
    </row>
  </sheetData>
  <mergeCells count="3">
    <mergeCell ref="E12:F12"/>
    <mergeCell ref="B2:O2"/>
    <mergeCell ref="B10:C10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1" orientation="landscape" r:id="rId1"/>
  <colBreaks count="1" manualBreakCount="1">
    <brk id="15" max="1048575" man="1"/>
  </colBreaks>
  <ignoredErrors>
    <ignoredError sqref="F6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AD15"/>
  <sheetViews>
    <sheetView showGridLines="0" zoomScale="82" zoomScaleNormal="82" workbookViewId="0">
      <selection activeCell="E6" sqref="E6"/>
    </sheetView>
  </sheetViews>
  <sheetFormatPr defaultColWidth="9.1796875" defaultRowHeight="12.5"/>
  <cols>
    <col min="1" max="1" width="3.54296875" style="44" customWidth="1"/>
    <col min="2" max="2" width="19.7265625" style="44" bestFit="1" customWidth="1"/>
    <col min="3" max="3" width="11.1796875" style="44" bestFit="1" customWidth="1"/>
    <col min="4" max="4" width="10.54296875" style="44" bestFit="1" customWidth="1"/>
    <col min="5" max="5" width="9.453125" style="44" bestFit="1" customWidth="1"/>
    <col min="6" max="6" width="11.54296875" style="44" bestFit="1" customWidth="1"/>
    <col min="7" max="7" width="11.453125" style="44" bestFit="1" customWidth="1"/>
    <col min="8" max="8" width="12.54296875" style="44" bestFit="1" customWidth="1"/>
    <col min="9" max="9" width="8.7265625" style="44" bestFit="1" customWidth="1"/>
    <col min="10" max="10" width="13.81640625" style="44" customWidth="1"/>
    <col min="11" max="11" width="10.81640625" style="44" customWidth="1"/>
    <col min="12" max="12" width="10.26953125" style="44" customWidth="1"/>
    <col min="13" max="13" width="8.81640625" style="44" bestFit="1" customWidth="1"/>
    <col min="14" max="14" width="11.1796875" style="44" bestFit="1" customWidth="1"/>
    <col min="15" max="15" width="13.81640625" style="44" bestFit="1" customWidth="1"/>
    <col min="16" max="16" width="11.7265625" style="44" customWidth="1"/>
    <col min="17" max="17" width="13" style="44" bestFit="1" customWidth="1"/>
    <col min="18" max="18" width="10.7265625" style="44" bestFit="1" customWidth="1"/>
    <col min="19" max="19" width="11.7265625" style="44" bestFit="1" customWidth="1"/>
    <col min="20" max="20" width="11.1796875" style="44" customWidth="1"/>
    <col min="21" max="21" width="12.81640625" style="44" customWidth="1"/>
    <col min="22" max="22" width="9.81640625" style="44" customWidth="1"/>
    <col min="23" max="23" width="10.7265625" style="44" customWidth="1"/>
    <col min="24" max="24" width="11.453125" style="44" customWidth="1"/>
    <col min="25" max="25" width="11.1796875" style="44" customWidth="1"/>
    <col min="26" max="26" width="9.54296875" style="44" bestFit="1" customWidth="1"/>
    <col min="27" max="27" width="10.7265625" style="44" bestFit="1" customWidth="1"/>
    <col min="28" max="28" width="11.7265625" style="44" bestFit="1" customWidth="1"/>
    <col min="29" max="29" width="9.54296875" style="44" bestFit="1" customWidth="1"/>
    <col min="30" max="30" width="11.54296875" style="44" customWidth="1"/>
    <col min="31" max="31" width="22.54296875" style="44" customWidth="1"/>
    <col min="32" max="16384" width="9.1796875" style="44"/>
  </cols>
  <sheetData>
    <row r="1" spans="2:30" ht="13" thickBot="1">
      <c r="B1" s="41"/>
      <c r="C1" s="42"/>
      <c r="D1" s="43"/>
    </row>
    <row r="2" spans="2:30" ht="13.5" thickBot="1">
      <c r="B2" s="388" t="s">
        <v>94</v>
      </c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90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</row>
    <row r="3" spans="2:30" s="51" customFormat="1" ht="39.5" thickTop="1">
      <c r="B3" s="46"/>
      <c r="C3" s="47" t="s">
        <v>95</v>
      </c>
      <c r="D3" s="48" t="s">
        <v>96</v>
      </c>
      <c r="E3" s="49" t="s">
        <v>81</v>
      </c>
      <c r="F3" s="48" t="s">
        <v>97</v>
      </c>
      <c r="G3" s="48" t="s">
        <v>98</v>
      </c>
      <c r="H3" s="48" t="s">
        <v>99</v>
      </c>
      <c r="I3" s="48" t="s">
        <v>100</v>
      </c>
      <c r="J3" s="48" t="s">
        <v>101</v>
      </c>
      <c r="K3" s="48" t="s">
        <v>102</v>
      </c>
      <c r="L3" s="48" t="s">
        <v>103</v>
      </c>
      <c r="M3" s="48" t="s">
        <v>104</v>
      </c>
      <c r="N3" s="48" t="s">
        <v>105</v>
      </c>
      <c r="O3" s="50" t="s">
        <v>90</v>
      </c>
      <c r="AA3" s="377"/>
      <c r="AB3" s="378"/>
    </row>
    <row r="4" spans="2:30">
      <c r="B4" s="52" t="s">
        <v>91</v>
      </c>
      <c r="C4" s="53"/>
      <c r="D4" s="54">
        <v>105</v>
      </c>
      <c r="E4" s="54">
        <v>45</v>
      </c>
      <c r="F4" s="54">
        <v>25</v>
      </c>
      <c r="G4" s="54">
        <v>25</v>
      </c>
      <c r="H4" s="54">
        <v>0</v>
      </c>
      <c r="I4" s="54">
        <v>0</v>
      </c>
      <c r="J4" s="54">
        <v>0</v>
      </c>
      <c r="K4" s="54">
        <v>0</v>
      </c>
      <c r="L4" s="54">
        <v>0</v>
      </c>
      <c r="M4" s="54">
        <v>0</v>
      </c>
      <c r="N4" s="55">
        <v>0</v>
      </c>
      <c r="O4" s="56"/>
    </row>
    <row r="5" spans="2:30">
      <c r="B5" s="52" t="s">
        <v>92</v>
      </c>
      <c r="C5" s="53"/>
      <c r="D5" s="54">
        <v>105</v>
      </c>
      <c r="E5" s="54">
        <v>45</v>
      </c>
      <c r="F5" s="54">
        <v>25</v>
      </c>
      <c r="G5" s="54">
        <v>25</v>
      </c>
      <c r="H5" s="54">
        <v>0</v>
      </c>
      <c r="I5" s="54">
        <v>0</v>
      </c>
      <c r="J5" s="54">
        <v>0</v>
      </c>
      <c r="K5" s="54">
        <v>0</v>
      </c>
      <c r="L5" s="54">
        <v>0</v>
      </c>
      <c r="M5" s="54">
        <v>0</v>
      </c>
      <c r="N5" s="57">
        <v>0</v>
      </c>
      <c r="O5" s="56"/>
      <c r="P5" s="58"/>
    </row>
    <row r="6" spans="2:30">
      <c r="B6" s="52" t="s">
        <v>93</v>
      </c>
      <c r="C6" s="59">
        <f>West_Summary!C4</f>
        <v>191.4598</v>
      </c>
      <c r="D6" s="54">
        <v>105</v>
      </c>
      <c r="E6" s="54">
        <v>38.310499999999998</v>
      </c>
      <c r="F6" s="54">
        <f t="shared" ref="F6:N6" si="0">F5</f>
        <v>25</v>
      </c>
      <c r="G6" s="54">
        <f t="shared" si="0"/>
        <v>25</v>
      </c>
      <c r="H6" s="54">
        <v>0</v>
      </c>
      <c r="I6" s="54">
        <v>0</v>
      </c>
      <c r="J6" s="54">
        <f t="shared" si="0"/>
        <v>0</v>
      </c>
      <c r="K6" s="54">
        <f t="shared" si="0"/>
        <v>0</v>
      </c>
      <c r="L6" s="54">
        <v>0</v>
      </c>
      <c r="M6" s="54">
        <v>0</v>
      </c>
      <c r="N6" s="54">
        <f t="shared" si="0"/>
        <v>0</v>
      </c>
      <c r="O6" s="56">
        <f>C6-SUM(D6:N6)</f>
        <v>-1.8506999999999891</v>
      </c>
      <c r="P6" s="58"/>
      <c r="Q6" s="58"/>
    </row>
    <row r="7" spans="2:30">
      <c r="B7" s="52"/>
      <c r="C7" s="53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60"/>
      <c r="O7" s="61"/>
      <c r="P7" s="58"/>
      <c r="Q7" s="58"/>
    </row>
    <row r="8" spans="2:30" ht="13.5" thickBot="1">
      <c r="B8" s="62" t="s">
        <v>76</v>
      </c>
      <c r="C8" s="63">
        <f t="shared" ref="C8" si="1">C6</f>
        <v>191.4598</v>
      </c>
      <c r="D8" s="63">
        <f t="shared" ref="D8:O8" si="2">D6</f>
        <v>105</v>
      </c>
      <c r="E8" s="63">
        <f t="shared" si="2"/>
        <v>38.310499999999998</v>
      </c>
      <c r="F8" s="63">
        <f t="shared" si="2"/>
        <v>25</v>
      </c>
      <c r="G8" s="63">
        <f t="shared" si="2"/>
        <v>25</v>
      </c>
      <c r="H8" s="63">
        <f t="shared" si="2"/>
        <v>0</v>
      </c>
      <c r="I8" s="63">
        <f t="shared" si="2"/>
        <v>0</v>
      </c>
      <c r="J8" s="63">
        <f t="shared" si="2"/>
        <v>0</v>
      </c>
      <c r="K8" s="63">
        <f t="shared" si="2"/>
        <v>0</v>
      </c>
      <c r="L8" s="63">
        <f t="shared" si="2"/>
        <v>0</v>
      </c>
      <c r="M8" s="63">
        <f t="shared" si="2"/>
        <v>0</v>
      </c>
      <c r="N8" s="63">
        <f t="shared" si="2"/>
        <v>0</v>
      </c>
      <c r="O8" s="65">
        <f t="shared" si="2"/>
        <v>-1.8506999999999891</v>
      </c>
      <c r="Q8" s="58"/>
    </row>
    <row r="9" spans="2:30">
      <c r="B9" s="66"/>
      <c r="D9" s="58"/>
      <c r="E9" s="67"/>
      <c r="F9" s="58"/>
      <c r="H9" s="58"/>
      <c r="I9" s="58"/>
      <c r="J9" s="58"/>
      <c r="K9" s="58"/>
      <c r="L9" s="58"/>
      <c r="M9" s="58"/>
      <c r="N9" s="58"/>
      <c r="O9" s="68"/>
      <c r="P9" s="58"/>
      <c r="Q9" s="69"/>
    </row>
    <row r="10" spans="2:30" ht="13">
      <c r="B10" s="386" t="s">
        <v>77</v>
      </c>
      <c r="C10" s="387"/>
      <c r="D10" s="71"/>
      <c r="E10" s="112"/>
      <c r="F10" s="71"/>
      <c r="G10" s="72">
        <f>SUM(D8:N8)</f>
        <v>193.31049999999999</v>
      </c>
      <c r="H10" s="72"/>
      <c r="I10" s="72"/>
      <c r="J10" s="72"/>
      <c r="K10" s="72"/>
      <c r="L10" s="72"/>
      <c r="M10" s="72"/>
      <c r="N10" s="58"/>
      <c r="O10" s="68"/>
      <c r="Q10" s="69"/>
    </row>
    <row r="11" spans="2:30" ht="13" thickBot="1">
      <c r="B11" s="7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6"/>
    </row>
    <row r="12" spans="2:30">
      <c r="D12" s="58"/>
      <c r="E12" s="77"/>
    </row>
    <row r="13" spans="2:30">
      <c r="D13" s="58"/>
    </row>
    <row r="15" spans="2:30">
      <c r="D15" s="58"/>
    </row>
  </sheetData>
  <mergeCells count="3">
    <mergeCell ref="B2:O2"/>
    <mergeCell ref="AA3:AB3"/>
    <mergeCell ref="B10:C10"/>
  </mergeCells>
  <phoneticPr fontId="7" type="noConversion"/>
  <pageMargins left="0.7" right="0.7" top="0.75" bottom="0.75" header="0.3" footer="0.3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B1:K11"/>
  <sheetViews>
    <sheetView zoomScale="92" zoomScaleNormal="92" workbookViewId="0">
      <selection activeCell="G18" sqref="G18"/>
    </sheetView>
  </sheetViews>
  <sheetFormatPr defaultColWidth="9.1796875" defaultRowHeight="12.5"/>
  <cols>
    <col min="1" max="1" width="3" style="44" customWidth="1"/>
    <col min="2" max="2" width="18.7265625" style="44" customWidth="1"/>
    <col min="3" max="3" width="17" style="44" customWidth="1"/>
    <col min="4" max="4" width="13" style="44" customWidth="1"/>
    <col min="5" max="5" width="10.453125" style="44" bestFit="1" customWidth="1"/>
    <col min="6" max="6" width="14.54296875" style="44" customWidth="1"/>
    <col min="7" max="7" width="15.453125" style="44" bestFit="1" customWidth="1"/>
    <col min="8" max="8" width="17" style="44" customWidth="1"/>
    <col min="9" max="9" width="3" style="44" customWidth="1"/>
    <col min="10" max="10" width="10.1796875" style="44" bestFit="1" customWidth="1"/>
    <col min="11" max="16384" width="9.1796875" style="44"/>
  </cols>
  <sheetData>
    <row r="1" spans="2:11" ht="13" thickBot="1">
      <c r="C1" s="382"/>
      <c r="D1" s="382"/>
      <c r="E1" s="382"/>
      <c r="F1" s="382"/>
      <c r="G1" s="382"/>
      <c r="H1" s="382"/>
    </row>
    <row r="2" spans="2:11" ht="13.5" thickBot="1">
      <c r="B2" s="388" t="s">
        <v>106</v>
      </c>
      <c r="C2" s="389"/>
      <c r="D2" s="389"/>
      <c r="E2" s="389"/>
      <c r="F2" s="389"/>
      <c r="G2" s="389"/>
      <c r="H2" s="390"/>
    </row>
    <row r="3" spans="2:11" s="51" customFormat="1" ht="26.5" thickTop="1">
      <c r="B3" s="46"/>
      <c r="C3" s="47" t="s">
        <v>107</v>
      </c>
      <c r="D3" s="48" t="s">
        <v>108</v>
      </c>
      <c r="E3" s="48" t="s">
        <v>109</v>
      </c>
      <c r="F3" s="48" t="s">
        <v>110</v>
      </c>
      <c r="G3" s="48" t="s">
        <v>111</v>
      </c>
      <c r="H3" s="50" t="s">
        <v>112</v>
      </c>
    </row>
    <row r="4" spans="2:11">
      <c r="B4" s="52" t="s">
        <v>91</v>
      </c>
      <c r="C4" s="78"/>
      <c r="D4" s="338">
        <v>35</v>
      </c>
      <c r="E4" s="339">
        <v>10</v>
      </c>
      <c r="F4" s="338">
        <v>0</v>
      </c>
      <c r="G4" s="338">
        <v>55</v>
      </c>
      <c r="H4" s="340"/>
    </row>
    <row r="5" spans="2:11">
      <c r="B5" s="52" t="s">
        <v>92</v>
      </c>
      <c r="C5" s="78"/>
      <c r="D5" s="341">
        <v>35</v>
      </c>
      <c r="E5" s="341">
        <v>10</v>
      </c>
      <c r="F5" s="341">
        <v>0</v>
      </c>
      <c r="G5" s="341">
        <v>55</v>
      </c>
      <c r="H5" s="340"/>
    </row>
    <row r="6" spans="2:11">
      <c r="B6" s="52" t="s">
        <v>93</v>
      </c>
      <c r="C6" s="79">
        <f>West_Summary!C6</f>
        <v>95.73</v>
      </c>
      <c r="D6" s="341">
        <f>D5</f>
        <v>35</v>
      </c>
      <c r="E6" s="341">
        <f t="shared" ref="E6:F6" si="0">E5</f>
        <v>10</v>
      </c>
      <c r="F6" s="341">
        <f t="shared" si="0"/>
        <v>0</v>
      </c>
      <c r="G6" s="341">
        <v>45</v>
      </c>
      <c r="H6" s="340">
        <f>C6-D6-E6-G6-F6</f>
        <v>5.730000000000004</v>
      </c>
      <c r="J6" s="58"/>
    </row>
    <row r="7" spans="2:11">
      <c r="B7" s="52"/>
      <c r="C7" s="78"/>
      <c r="D7" s="78"/>
      <c r="E7" s="78"/>
      <c r="F7" s="78"/>
      <c r="G7" s="78"/>
      <c r="H7" s="89"/>
      <c r="J7" s="58"/>
    </row>
    <row r="8" spans="2:11" ht="13.5" thickBot="1">
      <c r="B8" s="62" t="s">
        <v>76</v>
      </c>
      <c r="C8" s="105">
        <f t="shared" ref="C8:G8" si="1">C6</f>
        <v>95.73</v>
      </c>
      <c r="D8" s="63">
        <f t="shared" si="1"/>
        <v>35</v>
      </c>
      <c r="E8" s="63">
        <f t="shared" si="1"/>
        <v>10</v>
      </c>
      <c r="F8" s="63">
        <f t="shared" si="1"/>
        <v>0</v>
      </c>
      <c r="G8" s="63">
        <f t="shared" si="1"/>
        <v>45</v>
      </c>
      <c r="H8" s="65">
        <f>H6</f>
        <v>5.730000000000004</v>
      </c>
      <c r="J8" s="58"/>
    </row>
    <row r="9" spans="2:11" ht="13">
      <c r="B9" s="199"/>
      <c r="C9" s="190"/>
      <c r="D9" s="191"/>
      <c r="E9" s="192"/>
      <c r="F9" s="192"/>
      <c r="G9" s="192"/>
      <c r="H9" s="200"/>
      <c r="J9" s="58"/>
      <c r="K9" s="58"/>
    </row>
    <row r="10" spans="2:11" ht="13">
      <c r="B10" s="391" t="s">
        <v>77</v>
      </c>
      <c r="C10" s="380"/>
      <c r="D10" s="195"/>
      <c r="E10" s="138">
        <f>D6+E6+F6+G6</f>
        <v>90</v>
      </c>
      <c r="F10" s="138"/>
      <c r="G10" s="138"/>
      <c r="H10" s="200"/>
      <c r="J10" s="58"/>
    </row>
    <row r="11" spans="2:11" ht="17.25" customHeight="1" thickBot="1">
      <c r="B11" s="202"/>
      <c r="C11" s="203"/>
      <c r="D11" s="203"/>
      <c r="E11" s="203"/>
      <c r="F11" s="203"/>
      <c r="G11" s="203"/>
      <c r="H11" s="204"/>
    </row>
  </sheetData>
  <mergeCells count="3">
    <mergeCell ref="C1:H1"/>
    <mergeCell ref="B2:H2"/>
    <mergeCell ref="B10:C10"/>
  </mergeCells>
  <phoneticPr fontId="7" type="noConversion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T12"/>
  <sheetViews>
    <sheetView zoomScale="89" zoomScaleNormal="89" workbookViewId="0">
      <selection activeCell="F17" sqref="F17"/>
    </sheetView>
  </sheetViews>
  <sheetFormatPr defaultColWidth="9.1796875" defaultRowHeight="12.5"/>
  <cols>
    <col min="1" max="1" width="9.1796875" style="44"/>
    <col min="2" max="2" width="18.7265625" style="44" customWidth="1"/>
    <col min="3" max="3" width="19.26953125" style="44" customWidth="1"/>
    <col min="4" max="4" width="13.1796875" style="44" customWidth="1"/>
    <col min="5" max="5" width="17.26953125" style="44" customWidth="1"/>
    <col min="6" max="6" width="15.453125" style="44" bestFit="1" customWidth="1"/>
    <col min="7" max="7" width="17" style="44" customWidth="1"/>
    <col min="8" max="15" width="10.453125" style="44" customWidth="1"/>
    <col min="16" max="16" width="11.453125" style="44" customWidth="1"/>
    <col min="17" max="17" width="11.1796875" style="44" customWidth="1"/>
    <col min="18" max="19" width="9.54296875" style="44" bestFit="1" customWidth="1"/>
    <col min="20" max="20" width="11.54296875" style="44" customWidth="1"/>
    <col min="21" max="21" width="11.26953125" style="44" customWidth="1"/>
    <col min="22" max="16384" width="9.1796875" style="44"/>
  </cols>
  <sheetData>
    <row r="1" spans="2:20" ht="13" thickBot="1"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</row>
    <row r="2" spans="2:20" ht="13.5" thickBot="1">
      <c r="B2" s="374" t="s">
        <v>113</v>
      </c>
      <c r="C2" s="375"/>
      <c r="D2" s="375"/>
      <c r="E2" s="375"/>
      <c r="F2" s="375"/>
      <c r="G2" s="376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2:20" s="51" customFormat="1" ht="45.75" customHeight="1">
      <c r="B3" s="173"/>
      <c r="C3" s="174" t="s">
        <v>114</v>
      </c>
      <c r="D3" s="175" t="s">
        <v>115</v>
      </c>
      <c r="E3" s="175" t="s">
        <v>116</v>
      </c>
      <c r="F3" s="175" t="s">
        <v>117</v>
      </c>
      <c r="G3" s="176" t="s">
        <v>112</v>
      </c>
    </row>
    <row r="4" spans="2:20">
      <c r="B4" s="52" t="s">
        <v>91</v>
      </c>
      <c r="C4" s="78"/>
      <c r="D4" s="80">
        <v>0</v>
      </c>
      <c r="E4" s="80">
        <v>0</v>
      </c>
      <c r="F4" s="80"/>
      <c r="G4" s="102"/>
    </row>
    <row r="5" spans="2:20">
      <c r="B5" s="52" t="s">
        <v>92</v>
      </c>
      <c r="C5" s="78"/>
      <c r="D5" s="90"/>
      <c r="E5" s="90"/>
      <c r="F5" s="90"/>
      <c r="G5" s="102"/>
    </row>
    <row r="6" spans="2:20">
      <c r="B6" s="52" t="s">
        <v>93</v>
      </c>
      <c r="C6" s="59">
        <f>West_Summary!C7</f>
        <v>0</v>
      </c>
      <c r="D6" s="117"/>
      <c r="E6" s="88">
        <v>0</v>
      </c>
      <c r="F6" s="88"/>
      <c r="G6" s="102">
        <f>C6-D6-E6-F6</f>
        <v>0</v>
      </c>
    </row>
    <row r="7" spans="2:20">
      <c r="B7" s="101"/>
      <c r="C7" s="78"/>
      <c r="D7" s="78"/>
      <c r="E7" s="78"/>
      <c r="F7" s="78"/>
      <c r="G7" s="103"/>
    </row>
    <row r="8" spans="2:20" ht="13.5" thickBot="1">
      <c r="B8" s="104" t="s">
        <v>76</v>
      </c>
      <c r="C8" s="105">
        <f>C6</f>
        <v>0</v>
      </c>
      <c r="D8" s="63">
        <f>D6</f>
        <v>0</v>
      </c>
      <c r="E8" s="63">
        <f>E6</f>
        <v>0</v>
      </c>
      <c r="F8" s="63">
        <f>F6</f>
        <v>0</v>
      </c>
      <c r="G8" s="106">
        <f>G6</f>
        <v>0</v>
      </c>
    </row>
    <row r="9" spans="2:20" ht="13">
      <c r="B9" s="189"/>
      <c r="C9" s="190"/>
      <c r="D9" s="191"/>
      <c r="E9" s="192"/>
      <c r="F9" s="192"/>
      <c r="G9" s="193"/>
      <c r="I9" s="58"/>
    </row>
    <row r="10" spans="2:20" ht="13">
      <c r="B10" s="379" t="s">
        <v>77</v>
      </c>
      <c r="C10" s="380"/>
      <c r="D10" s="195"/>
      <c r="E10" s="138">
        <f>D8+E8+F8</f>
        <v>0</v>
      </c>
      <c r="F10" s="138"/>
      <c r="G10" s="193"/>
    </row>
    <row r="11" spans="2:20" ht="13" thickBot="1">
      <c r="B11" s="196"/>
      <c r="C11" s="197"/>
      <c r="D11" s="197"/>
      <c r="E11" s="197"/>
      <c r="F11" s="197"/>
      <c r="G11" s="198"/>
    </row>
    <row r="12" spans="2:20" ht="13" thickTop="1"/>
  </sheetData>
  <mergeCells count="3">
    <mergeCell ref="C1:T1"/>
    <mergeCell ref="B2:G2"/>
    <mergeCell ref="B10:C10"/>
  </mergeCells>
  <phoneticPr fontId="7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B1:X17"/>
  <sheetViews>
    <sheetView showGridLines="0" topLeftCell="C1" zoomScale="90" zoomScaleNormal="90" workbookViewId="0">
      <selection activeCell="G17" sqref="G17"/>
    </sheetView>
  </sheetViews>
  <sheetFormatPr defaultColWidth="13.26953125" defaultRowHeight="12.5"/>
  <cols>
    <col min="1" max="1" width="3.54296875" style="44" customWidth="1"/>
    <col min="2" max="2" width="19.7265625" style="44" bestFit="1" customWidth="1"/>
    <col min="3" max="3" width="16.1796875" style="44" customWidth="1"/>
    <col min="4" max="4" width="15.453125" style="44" customWidth="1"/>
    <col min="5" max="6" width="13.453125" style="44" customWidth="1"/>
    <col min="7" max="7" width="14.81640625" style="44" bestFit="1" customWidth="1"/>
    <col min="8" max="8" width="17.453125" style="44" bestFit="1" customWidth="1"/>
    <col min="9" max="16384" width="13.26953125" style="44"/>
  </cols>
  <sheetData>
    <row r="1" spans="2:24" ht="13" thickBot="1"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  <c r="X1" s="382"/>
    </row>
    <row r="2" spans="2:24" ht="13.5" thickBot="1">
      <c r="B2" s="374" t="s">
        <v>118</v>
      </c>
      <c r="C2" s="375"/>
      <c r="D2" s="375"/>
      <c r="E2" s="375"/>
      <c r="F2" s="375"/>
      <c r="G2" s="375"/>
      <c r="H2" s="376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2:24" s="51" customFormat="1" ht="39">
      <c r="B3" s="177"/>
      <c r="C3" s="174" t="s">
        <v>119</v>
      </c>
      <c r="D3" s="175" t="s">
        <v>120</v>
      </c>
      <c r="E3" s="175" t="s">
        <v>121</v>
      </c>
      <c r="F3" s="175" t="s">
        <v>122</v>
      </c>
      <c r="G3" s="175" t="s">
        <v>123</v>
      </c>
      <c r="H3" s="178" t="s">
        <v>124</v>
      </c>
      <c r="U3" s="377"/>
      <c r="V3" s="378"/>
    </row>
    <row r="4" spans="2:24">
      <c r="B4" s="52" t="s">
        <v>91</v>
      </c>
      <c r="C4" s="78"/>
      <c r="D4" s="338">
        <v>12</v>
      </c>
      <c r="E4" s="338">
        <v>20</v>
      </c>
      <c r="F4" s="338">
        <v>10</v>
      </c>
      <c r="G4" s="338">
        <v>19</v>
      </c>
      <c r="H4" s="179"/>
    </row>
    <row r="5" spans="2:24">
      <c r="B5" s="52" t="s">
        <v>92</v>
      </c>
      <c r="C5" s="78"/>
      <c r="D5" s="341">
        <v>12</v>
      </c>
      <c r="E5" s="338">
        <v>20</v>
      </c>
      <c r="F5" s="341">
        <v>10</v>
      </c>
      <c r="G5" s="338">
        <v>19</v>
      </c>
      <c r="H5" s="179"/>
    </row>
    <row r="6" spans="2:24" ht="12.75" customHeight="1">
      <c r="B6" s="52" t="s">
        <v>93</v>
      </c>
      <c r="C6" s="59">
        <f>West_Summary!C8</f>
        <v>60</v>
      </c>
      <c r="D6" s="342">
        <f>D5</f>
        <v>12</v>
      </c>
      <c r="E6" s="338">
        <v>20</v>
      </c>
      <c r="F6" s="342">
        <f t="shared" ref="F6" si="0">F5</f>
        <v>10</v>
      </c>
      <c r="G6" s="338">
        <v>13</v>
      </c>
      <c r="H6" s="179">
        <f>C6-D6-E6-G6-F6</f>
        <v>5</v>
      </c>
      <c r="I6" s="58"/>
      <c r="J6" s="58"/>
    </row>
    <row r="7" spans="2:24">
      <c r="B7" s="52"/>
      <c r="C7" s="78"/>
      <c r="D7" s="134"/>
      <c r="E7" s="78"/>
      <c r="F7" s="78"/>
      <c r="G7" s="78"/>
      <c r="H7" s="89"/>
      <c r="J7" s="58"/>
    </row>
    <row r="8" spans="2:24" ht="13.5" thickBot="1">
      <c r="B8" s="180" t="s">
        <v>76</v>
      </c>
      <c r="C8" s="135">
        <f>C6</f>
        <v>60</v>
      </c>
      <c r="D8" s="136">
        <f>D6</f>
        <v>12</v>
      </c>
      <c r="E8" s="136">
        <f>E6</f>
        <v>20</v>
      </c>
      <c r="F8" s="136">
        <f>F6</f>
        <v>10</v>
      </c>
      <c r="G8" s="136">
        <f>G6</f>
        <v>13</v>
      </c>
      <c r="H8" s="181">
        <f>C8-D8-E8-G8-F8</f>
        <v>5</v>
      </c>
      <c r="J8" s="58"/>
      <c r="K8" s="91"/>
    </row>
    <row r="9" spans="2:24">
      <c r="B9" s="66"/>
      <c r="H9" s="68"/>
      <c r="J9" s="133"/>
    </row>
    <row r="10" spans="2:24" ht="13">
      <c r="B10" s="391" t="s">
        <v>77</v>
      </c>
      <c r="C10" s="380"/>
      <c r="D10" s="137"/>
      <c r="E10" s="138">
        <f>D8+E8+G8+F8</f>
        <v>55</v>
      </c>
      <c r="F10" s="138"/>
      <c r="G10" s="58"/>
      <c r="H10" s="225"/>
      <c r="J10" s="91"/>
    </row>
    <row r="11" spans="2:24" ht="13" thickBot="1">
      <c r="B11" s="183"/>
      <c r="C11" s="392"/>
      <c r="D11" s="392"/>
      <c r="E11" s="392"/>
      <c r="F11" s="392"/>
      <c r="G11" s="392"/>
      <c r="H11" s="393"/>
    </row>
    <row r="13" spans="2:24">
      <c r="E13" s="58"/>
      <c r="F13" s="58"/>
    </row>
    <row r="17" spans="7:7">
      <c r="G17" s="58"/>
    </row>
  </sheetData>
  <mergeCells count="5">
    <mergeCell ref="C11:H11"/>
    <mergeCell ref="C1:X1"/>
    <mergeCell ref="B2:H2"/>
    <mergeCell ref="U3:V3"/>
    <mergeCell ref="B10:C10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T11"/>
  <sheetViews>
    <sheetView zoomScale="89" zoomScaleNormal="89" workbookViewId="0">
      <selection activeCell="E19" sqref="E19"/>
    </sheetView>
  </sheetViews>
  <sheetFormatPr defaultColWidth="9.1796875" defaultRowHeight="12.5"/>
  <cols>
    <col min="1" max="1" width="2.54296875" style="44" customWidth="1"/>
    <col min="2" max="2" width="18.7265625" style="44" customWidth="1"/>
    <col min="3" max="3" width="19.26953125" style="44" customWidth="1"/>
    <col min="4" max="4" width="13.1796875" style="44" customWidth="1"/>
    <col min="5" max="5" width="13.81640625" style="44" bestFit="1" customWidth="1"/>
    <col min="6" max="6" width="14.81640625" style="44" customWidth="1"/>
    <col min="7" max="7" width="13.1796875" style="44" bestFit="1" customWidth="1"/>
    <col min="8" max="8" width="11.7265625" style="44" customWidth="1"/>
    <col min="9" max="9" width="11.7265625" style="44" bestFit="1" customWidth="1"/>
    <col min="10" max="10" width="12.453125" style="44" customWidth="1"/>
    <col min="11" max="11" width="11.81640625" style="44" customWidth="1"/>
    <col min="12" max="12" width="9.81640625" style="44" customWidth="1"/>
    <col min="13" max="13" width="10.7265625" style="44" customWidth="1"/>
    <col min="14" max="14" width="11.453125" style="44" customWidth="1"/>
    <col min="15" max="15" width="11.1796875" style="44" customWidth="1"/>
    <col min="16" max="16" width="9.54296875" style="44" bestFit="1" customWidth="1"/>
    <col min="17" max="17" width="10.7265625" style="44" bestFit="1" customWidth="1"/>
    <col min="18" max="18" width="11.7265625" style="44" bestFit="1" customWidth="1"/>
    <col min="19" max="19" width="9.54296875" style="44" bestFit="1" customWidth="1"/>
    <col min="20" max="20" width="11.54296875" style="44" customWidth="1"/>
    <col min="21" max="21" width="22.54296875" style="44" customWidth="1"/>
    <col min="22" max="16384" width="9.1796875" style="44"/>
  </cols>
  <sheetData>
    <row r="1" spans="2:20" ht="13" thickBot="1">
      <c r="B1" s="41"/>
      <c r="C1" s="42"/>
      <c r="D1" s="43"/>
    </row>
    <row r="2" spans="2:20" ht="13.5" thickBot="1">
      <c r="B2" s="374" t="s">
        <v>11</v>
      </c>
      <c r="C2" s="375"/>
      <c r="D2" s="375"/>
      <c r="E2" s="375"/>
      <c r="F2" s="375"/>
      <c r="G2" s="376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2:20" s="51" customFormat="1" ht="45.75" customHeight="1">
      <c r="B3" s="177"/>
      <c r="C3" s="174" t="s">
        <v>125</v>
      </c>
      <c r="D3" s="175" t="s">
        <v>126</v>
      </c>
      <c r="E3" s="175" t="s">
        <v>127</v>
      </c>
      <c r="F3" s="175" t="s">
        <v>117</v>
      </c>
      <c r="G3" s="178" t="s">
        <v>112</v>
      </c>
      <c r="Q3" s="377"/>
      <c r="R3" s="378"/>
    </row>
    <row r="4" spans="2:20">
      <c r="B4" s="52" t="s">
        <v>91</v>
      </c>
      <c r="C4" s="78"/>
      <c r="D4" s="129">
        <v>10</v>
      </c>
      <c r="E4" s="129">
        <v>5</v>
      </c>
      <c r="F4" s="80"/>
      <c r="G4" s="179"/>
    </row>
    <row r="5" spans="2:20">
      <c r="B5" s="52" t="s">
        <v>92</v>
      </c>
      <c r="C5" s="78"/>
      <c r="D5" s="90">
        <v>10</v>
      </c>
      <c r="E5" s="90">
        <v>0</v>
      </c>
      <c r="F5" s="88"/>
      <c r="G5" s="179"/>
      <c r="I5" s="124"/>
    </row>
    <row r="6" spans="2:20">
      <c r="B6" s="52" t="s">
        <v>93</v>
      </c>
      <c r="C6" s="59">
        <f>West_Summary!C9</f>
        <v>15.429500000000001</v>
      </c>
      <c r="D6" s="117">
        <v>10</v>
      </c>
      <c r="E6" s="117">
        <v>0</v>
      </c>
      <c r="F6" s="88">
        <v>0</v>
      </c>
      <c r="G6" s="179">
        <f>C6-D6-E6-F6</f>
        <v>5.4295000000000009</v>
      </c>
      <c r="J6" s="58"/>
    </row>
    <row r="7" spans="2:20">
      <c r="B7" s="52"/>
      <c r="C7" s="78"/>
      <c r="D7" s="78"/>
      <c r="E7" s="78"/>
      <c r="F7" s="78"/>
      <c r="G7" s="89"/>
      <c r="I7" s="58"/>
    </row>
    <row r="8" spans="2:20" ht="13.5" thickBot="1">
      <c r="B8" s="62" t="s">
        <v>76</v>
      </c>
      <c r="C8" s="105">
        <f>C6</f>
        <v>15.429500000000001</v>
      </c>
      <c r="D8" s="63">
        <f>D6</f>
        <v>10</v>
      </c>
      <c r="E8" s="63">
        <f>E6</f>
        <v>0</v>
      </c>
      <c r="F8" s="63">
        <f>F6</f>
        <v>0</v>
      </c>
      <c r="G8" s="65">
        <f>G6</f>
        <v>5.4295000000000009</v>
      </c>
    </row>
    <row r="9" spans="2:20" ht="13">
      <c r="B9" s="199"/>
      <c r="C9" s="190"/>
      <c r="D9" s="191"/>
      <c r="E9" s="192"/>
      <c r="F9" s="192"/>
      <c r="G9" s="200"/>
      <c r="I9" s="58"/>
    </row>
    <row r="10" spans="2:20" ht="13">
      <c r="B10" s="391" t="s">
        <v>77</v>
      </c>
      <c r="C10" s="380"/>
      <c r="D10" s="195"/>
      <c r="E10" s="138">
        <f>D8+E8+F8</f>
        <v>10</v>
      </c>
      <c r="F10" s="138"/>
      <c r="G10" s="200"/>
    </row>
    <row r="11" spans="2:20" ht="17.25" customHeight="1" thickBot="1">
      <c r="B11" s="202"/>
      <c r="C11" s="203"/>
      <c r="D11" s="203"/>
      <c r="E11" s="203"/>
      <c r="F11" s="203"/>
      <c r="G11" s="204"/>
      <c r="H11" s="118"/>
    </row>
  </sheetData>
  <mergeCells count="3">
    <mergeCell ref="B2:G2"/>
    <mergeCell ref="Q3:R3"/>
    <mergeCell ref="B10:C10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1"/>
  <sheetViews>
    <sheetView zoomScale="89" zoomScaleNormal="89" workbookViewId="0">
      <selection activeCell="G17" sqref="G17"/>
    </sheetView>
  </sheetViews>
  <sheetFormatPr defaultColWidth="9.1796875" defaultRowHeight="12.5"/>
  <cols>
    <col min="1" max="1" width="2.54296875" style="44" customWidth="1"/>
    <col min="2" max="2" width="18.7265625" style="44" customWidth="1"/>
    <col min="3" max="3" width="19.26953125" style="44" customWidth="1"/>
    <col min="4" max="4" width="13.1796875" style="44" customWidth="1"/>
    <col min="5" max="5" width="13.81640625" style="44" bestFit="1" customWidth="1"/>
    <col min="6" max="6" width="14.81640625" style="44" customWidth="1"/>
    <col min="7" max="7" width="13.1796875" style="44" bestFit="1" customWidth="1"/>
    <col min="8" max="8" width="11.7265625" style="44" customWidth="1"/>
    <col min="9" max="9" width="11.7265625" style="44" bestFit="1" customWidth="1"/>
    <col min="10" max="10" width="12.453125" style="44" customWidth="1"/>
    <col min="11" max="11" width="11.81640625" style="44" customWidth="1"/>
    <col min="12" max="12" width="9.81640625" style="44" customWidth="1"/>
    <col min="13" max="13" width="10.7265625" style="44" customWidth="1"/>
    <col min="14" max="14" width="11.453125" style="44" customWidth="1"/>
    <col min="15" max="15" width="11.1796875" style="44" customWidth="1"/>
    <col min="16" max="16" width="9.54296875" style="44" bestFit="1" customWidth="1"/>
    <col min="17" max="17" width="10.7265625" style="44" bestFit="1" customWidth="1"/>
    <col min="18" max="18" width="11.7265625" style="44" bestFit="1" customWidth="1"/>
    <col min="19" max="19" width="9.54296875" style="44" bestFit="1" customWidth="1"/>
    <col min="20" max="20" width="11.54296875" style="44" customWidth="1"/>
    <col min="21" max="21" width="22.54296875" style="44" customWidth="1"/>
    <col min="22" max="16384" width="9.1796875" style="44"/>
  </cols>
  <sheetData>
    <row r="1" spans="2:20" ht="13" thickBot="1">
      <c r="B1" s="41"/>
      <c r="C1" s="42"/>
      <c r="D1" s="43"/>
    </row>
    <row r="2" spans="2:20" ht="13.5" thickBot="1">
      <c r="B2" s="374" t="s">
        <v>62</v>
      </c>
      <c r="C2" s="375"/>
      <c r="D2" s="375"/>
      <c r="E2" s="375"/>
      <c r="F2" s="375"/>
      <c r="G2" s="376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2:20" s="51" customFormat="1" ht="45.75" customHeight="1">
      <c r="B3" s="177"/>
      <c r="C3" s="174" t="s">
        <v>128</v>
      </c>
      <c r="D3" s="175" t="s">
        <v>126</v>
      </c>
      <c r="E3" s="175" t="s">
        <v>116</v>
      </c>
      <c r="F3" s="175" t="s">
        <v>117</v>
      </c>
      <c r="G3" s="178" t="s">
        <v>112</v>
      </c>
      <c r="Q3" s="377"/>
      <c r="R3" s="378"/>
    </row>
    <row r="4" spans="2:20">
      <c r="B4" s="52" t="s">
        <v>91</v>
      </c>
      <c r="C4" s="78"/>
      <c r="D4" s="129">
        <f>'NGML Gas Allocation '!C20</f>
        <v>15</v>
      </c>
      <c r="E4" s="129">
        <v>0</v>
      </c>
      <c r="F4" s="80"/>
      <c r="G4" s="179"/>
    </row>
    <row r="5" spans="2:20">
      <c r="B5" s="52" t="s">
        <v>92</v>
      </c>
      <c r="C5" s="78"/>
      <c r="D5" s="88">
        <v>15</v>
      </c>
      <c r="E5" s="90">
        <v>0</v>
      </c>
      <c r="F5" s="88"/>
      <c r="G5" s="179"/>
      <c r="I5" s="124"/>
    </row>
    <row r="6" spans="2:20">
      <c r="B6" s="52" t="s">
        <v>93</v>
      </c>
      <c r="C6" s="59">
        <f>West_Summary!C12</f>
        <v>19.879799999999999</v>
      </c>
      <c r="D6" s="117">
        <v>15</v>
      </c>
      <c r="E6" s="117">
        <v>0</v>
      </c>
      <c r="F6" s="88">
        <v>0</v>
      </c>
      <c r="G6" s="179">
        <f>C6-D6-E6-F6</f>
        <v>4.8797999999999995</v>
      </c>
      <c r="J6" s="58"/>
    </row>
    <row r="7" spans="2:20">
      <c r="B7" s="52"/>
      <c r="C7" s="78"/>
      <c r="D7" s="78"/>
      <c r="E7" s="78"/>
      <c r="F7" s="78"/>
      <c r="G7" s="89"/>
      <c r="I7" s="58"/>
    </row>
    <row r="8" spans="2:20" ht="13.5" thickBot="1">
      <c r="B8" s="62" t="s">
        <v>76</v>
      </c>
      <c r="C8" s="105">
        <f>C6</f>
        <v>19.879799999999999</v>
      </c>
      <c r="D8" s="63">
        <f>D6</f>
        <v>15</v>
      </c>
      <c r="E8" s="63">
        <f>E6</f>
        <v>0</v>
      </c>
      <c r="F8" s="63">
        <f>F6</f>
        <v>0</v>
      </c>
      <c r="G8" s="65">
        <f>G6</f>
        <v>4.8797999999999995</v>
      </c>
    </row>
    <row r="9" spans="2:20" ht="13">
      <c r="B9" s="199"/>
      <c r="C9" s="190"/>
      <c r="D9" s="191"/>
      <c r="E9" s="192"/>
      <c r="F9" s="192"/>
      <c r="G9" s="200"/>
      <c r="I9" s="58"/>
    </row>
    <row r="10" spans="2:20" ht="13">
      <c r="B10" s="391" t="s">
        <v>77</v>
      </c>
      <c r="C10" s="380"/>
      <c r="D10" s="195"/>
      <c r="E10" s="138">
        <f>D8+E8+F8</f>
        <v>15</v>
      </c>
      <c r="F10" s="138"/>
      <c r="G10" s="200"/>
    </row>
    <row r="11" spans="2:20" ht="17.25" customHeight="1" thickBot="1">
      <c r="B11" s="202"/>
      <c r="C11" s="203"/>
      <c r="D11" s="203"/>
      <c r="E11" s="203"/>
      <c r="F11" s="203"/>
      <c r="G11" s="204"/>
      <c r="H11" s="118"/>
    </row>
  </sheetData>
  <mergeCells count="3">
    <mergeCell ref="B2:G2"/>
    <mergeCell ref="Q3:R3"/>
    <mergeCell ref="B10:C10"/>
  </mergeCells>
  <phoneticPr fontId="7" type="noConversion"/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topLeftCell="B1" zoomScale="89" zoomScaleNormal="89" workbookViewId="0">
      <selection activeCell="F5" sqref="F5"/>
    </sheetView>
  </sheetViews>
  <sheetFormatPr defaultColWidth="9.1796875" defaultRowHeight="12.5"/>
  <cols>
    <col min="1" max="1" width="3.453125" style="44" customWidth="1"/>
    <col min="2" max="2" width="18.7265625" style="44" customWidth="1"/>
    <col min="3" max="3" width="19.26953125" style="44" customWidth="1"/>
    <col min="4" max="6" width="12.81640625" style="44" customWidth="1"/>
    <col min="7" max="7" width="17" style="44" customWidth="1"/>
    <col min="8" max="8" width="11.7265625" style="44" customWidth="1"/>
    <col min="9" max="16384" width="9.1796875" style="44"/>
  </cols>
  <sheetData>
    <row r="1" spans="2:11" ht="13" thickBot="1">
      <c r="B1" s="41"/>
      <c r="C1" s="42"/>
      <c r="D1" s="43"/>
    </row>
    <row r="2" spans="2:11" ht="13.5" thickBot="1">
      <c r="B2" s="388" t="s">
        <v>129</v>
      </c>
      <c r="C2" s="389"/>
      <c r="D2" s="389"/>
      <c r="E2" s="389"/>
      <c r="F2" s="389"/>
      <c r="G2" s="390"/>
      <c r="H2" s="45"/>
    </row>
    <row r="3" spans="2:11" s="51" customFormat="1" ht="26.5" thickTop="1">
      <c r="B3" s="46"/>
      <c r="C3" s="47" t="s">
        <v>130</v>
      </c>
      <c r="D3" s="48" t="s">
        <v>85</v>
      </c>
      <c r="E3" s="48" t="s">
        <v>131</v>
      </c>
      <c r="F3" s="48" t="s">
        <v>132</v>
      </c>
      <c r="G3" s="50" t="s">
        <v>112</v>
      </c>
    </row>
    <row r="4" spans="2:11">
      <c r="B4" s="52" t="s">
        <v>91</v>
      </c>
      <c r="C4" s="78"/>
      <c r="D4" s="54">
        <v>60</v>
      </c>
      <c r="E4" s="129">
        <v>20</v>
      </c>
      <c r="F4" s="80">
        <v>40</v>
      </c>
      <c r="G4" s="179"/>
    </row>
    <row r="5" spans="2:11">
      <c r="B5" s="52" t="s">
        <v>92</v>
      </c>
      <c r="C5" s="78"/>
      <c r="D5" s="54">
        <v>60</v>
      </c>
      <c r="E5" s="54">
        <v>20</v>
      </c>
      <c r="F5" s="54">
        <f>F4</f>
        <v>40</v>
      </c>
      <c r="G5" s="179"/>
    </row>
    <row r="6" spans="2:11">
      <c r="B6" s="52" t="s">
        <v>93</v>
      </c>
      <c r="C6" s="58">
        <v>103.74</v>
      </c>
      <c r="D6" s="139">
        <f>D5</f>
        <v>60</v>
      </c>
      <c r="E6" s="117">
        <f>SNG!C16/1000000</f>
        <v>17.443512361466325</v>
      </c>
      <c r="F6" s="117">
        <f>'NDPHC Attribution'!F8</f>
        <v>12.85799999999999</v>
      </c>
      <c r="G6" s="179">
        <f>C6-D6-E6-F6</f>
        <v>13.43848763853368</v>
      </c>
      <c r="H6" s="58"/>
      <c r="I6" s="58"/>
    </row>
    <row r="7" spans="2:11">
      <c r="B7" s="52"/>
      <c r="C7" s="78"/>
      <c r="D7" s="78"/>
      <c r="E7" s="78"/>
      <c r="F7" s="78"/>
      <c r="G7" s="89"/>
      <c r="I7" s="58"/>
    </row>
    <row r="8" spans="2:11" ht="13.5" thickBot="1">
      <c r="B8" s="62" t="s">
        <v>76</v>
      </c>
      <c r="C8" s="63">
        <f t="shared" ref="C8:E8" si="0">C6</f>
        <v>103.74</v>
      </c>
      <c r="D8" s="63">
        <f t="shared" si="0"/>
        <v>60</v>
      </c>
      <c r="E8" s="63">
        <f t="shared" si="0"/>
        <v>17.443512361466325</v>
      </c>
      <c r="F8" s="63">
        <f>F6</f>
        <v>12.85799999999999</v>
      </c>
      <c r="G8" s="65">
        <f>G6</f>
        <v>13.43848763853368</v>
      </c>
      <c r="J8" s="58"/>
      <c r="K8" s="58"/>
    </row>
    <row r="9" spans="2:11" ht="13">
      <c r="B9" s="199"/>
      <c r="C9" s="190"/>
      <c r="D9" s="191"/>
      <c r="E9" s="192"/>
      <c r="F9" s="192"/>
      <c r="G9" s="200"/>
      <c r="I9" s="58"/>
    </row>
    <row r="10" spans="2:11" ht="13">
      <c r="B10" s="391" t="s">
        <v>77</v>
      </c>
      <c r="C10" s="380"/>
      <c r="E10" s="138">
        <f>D8+E8+F8</f>
        <v>90.301512361466322</v>
      </c>
      <c r="F10" s="138"/>
      <c r="G10" s="200"/>
    </row>
    <row r="11" spans="2:11" ht="17.25" customHeight="1" thickBot="1">
      <c r="B11" s="202"/>
      <c r="C11" s="203"/>
      <c r="D11" s="203"/>
      <c r="E11" s="203"/>
      <c r="F11" s="203"/>
      <c r="G11" s="204"/>
      <c r="H11" s="118"/>
    </row>
    <row r="14" spans="2:11">
      <c r="C14" s="58"/>
    </row>
  </sheetData>
  <mergeCells count="2">
    <mergeCell ref="B2:G2"/>
    <mergeCell ref="B10:C10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R12"/>
  <sheetViews>
    <sheetView topLeftCell="B1" zoomScale="89" zoomScaleNormal="89" workbookViewId="0">
      <selection activeCell="H18" sqref="H17:H18"/>
    </sheetView>
  </sheetViews>
  <sheetFormatPr defaultColWidth="9.1796875" defaultRowHeight="12.5"/>
  <cols>
    <col min="1" max="1" width="3.81640625" style="44" customWidth="1"/>
    <col min="2" max="2" width="18.7265625" style="44" customWidth="1"/>
    <col min="3" max="3" width="19.26953125" style="44" customWidth="1"/>
    <col min="4" max="4" width="13.1796875" style="44" customWidth="1"/>
    <col min="5" max="5" width="15.26953125" style="44" customWidth="1"/>
    <col min="6" max="6" width="14.81640625" style="44" customWidth="1"/>
    <col min="7" max="7" width="15.453125" style="44" customWidth="1"/>
    <col min="8" max="8" width="3.81640625" style="44" customWidth="1"/>
    <col min="9" max="9" width="11.7265625" style="44" bestFit="1" customWidth="1"/>
    <col min="10" max="10" width="9.81640625" style="44" customWidth="1"/>
    <col min="11" max="11" width="10.7265625" style="44" customWidth="1"/>
    <col min="12" max="12" width="11.453125" style="44" customWidth="1"/>
    <col min="13" max="13" width="11.1796875" style="44" customWidth="1"/>
    <col min="14" max="14" width="9.54296875" style="44" bestFit="1" customWidth="1"/>
    <col min="15" max="15" width="10.7265625" style="44" bestFit="1" customWidth="1"/>
    <col min="16" max="16" width="11.7265625" style="44" bestFit="1" customWidth="1"/>
    <col min="17" max="17" width="9.54296875" style="44" bestFit="1" customWidth="1"/>
    <col min="18" max="18" width="11.54296875" style="44" customWidth="1"/>
    <col min="19" max="19" width="22.54296875" style="44" customWidth="1"/>
    <col min="20" max="16384" width="9.1796875" style="44"/>
  </cols>
  <sheetData>
    <row r="1" spans="1:18" ht="13" thickBot="1">
      <c r="A1" s="130"/>
      <c r="B1" s="201"/>
      <c r="C1" s="298"/>
      <c r="D1" s="299"/>
      <c r="E1" s="130"/>
      <c r="F1" s="130"/>
      <c r="G1" s="130"/>
      <c r="H1" s="130"/>
    </row>
    <row r="2" spans="1:18" ht="13.5" thickBot="1">
      <c r="A2" s="130"/>
      <c r="B2" s="374" t="s">
        <v>12</v>
      </c>
      <c r="C2" s="375"/>
      <c r="D2" s="375"/>
      <c r="E2" s="375"/>
      <c r="F2" s="375"/>
      <c r="G2" s="376"/>
      <c r="H2" s="190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s="51" customFormat="1" ht="26">
      <c r="A3" s="300"/>
      <c r="B3" s="177"/>
      <c r="C3" s="174" t="s">
        <v>133</v>
      </c>
      <c r="D3" s="175" t="s">
        <v>126</v>
      </c>
      <c r="E3" s="175" t="s">
        <v>134</v>
      </c>
      <c r="F3" s="184" t="s">
        <v>117</v>
      </c>
      <c r="G3" s="178" t="s">
        <v>112</v>
      </c>
      <c r="H3" s="300"/>
      <c r="O3" s="377"/>
      <c r="P3" s="378"/>
    </row>
    <row r="4" spans="1:18">
      <c r="A4" s="130"/>
      <c r="B4" s="52" t="s">
        <v>91</v>
      </c>
      <c r="C4" s="78"/>
      <c r="D4" s="86">
        <v>100</v>
      </c>
      <c r="E4" s="80"/>
      <c r="F4" s="80"/>
      <c r="G4" s="179"/>
      <c r="H4" s="130"/>
    </row>
    <row r="5" spans="1:18">
      <c r="A5" s="130"/>
      <c r="B5" s="52" t="s">
        <v>92</v>
      </c>
      <c r="C5" s="78"/>
      <c r="D5" s="88">
        <v>100</v>
      </c>
      <c r="E5" s="90"/>
      <c r="F5" s="88"/>
      <c r="G5" s="179"/>
      <c r="H5" s="130"/>
      <c r="I5" s="124"/>
    </row>
    <row r="6" spans="1:18">
      <c r="A6" s="130"/>
      <c r="B6" s="52" t="s">
        <v>93</v>
      </c>
      <c r="C6" s="59">
        <f>West_Summary!C10</f>
        <v>133</v>
      </c>
      <c r="D6" s="139">
        <v>100</v>
      </c>
      <c r="E6" s="88">
        <v>15</v>
      </c>
      <c r="F6" s="88"/>
      <c r="G6" s="179">
        <f>C6-D6-E6-F6</f>
        <v>18</v>
      </c>
      <c r="H6" s="130"/>
    </row>
    <row r="7" spans="1:18">
      <c r="A7" s="130"/>
      <c r="B7" s="52"/>
      <c r="C7" s="78"/>
      <c r="D7" s="78"/>
      <c r="E7" s="78"/>
      <c r="F7" s="78"/>
      <c r="G7" s="89"/>
      <c r="H7" s="130"/>
      <c r="I7" s="58"/>
    </row>
    <row r="8" spans="1:18" ht="13.5" thickBot="1">
      <c r="A8" s="130"/>
      <c r="B8" s="62" t="s">
        <v>76</v>
      </c>
      <c r="C8" s="105">
        <f>C6</f>
        <v>133</v>
      </c>
      <c r="D8" s="63">
        <f>D6</f>
        <v>100</v>
      </c>
      <c r="E8" s="63">
        <f>E6</f>
        <v>15</v>
      </c>
      <c r="F8" s="63">
        <f>F6</f>
        <v>0</v>
      </c>
      <c r="G8" s="65">
        <f>G6</f>
        <v>18</v>
      </c>
      <c r="H8" s="130"/>
    </row>
    <row r="9" spans="1:18" ht="13">
      <c r="A9" s="130"/>
      <c r="B9" s="199"/>
      <c r="C9" s="190"/>
      <c r="D9" s="191"/>
      <c r="E9" s="192"/>
      <c r="F9" s="192"/>
      <c r="G9" s="200"/>
      <c r="H9" s="130"/>
    </row>
    <row r="10" spans="1:18" ht="13">
      <c r="A10" s="130"/>
      <c r="B10" s="391" t="s">
        <v>77</v>
      </c>
      <c r="C10" s="380"/>
      <c r="D10" s="195"/>
      <c r="E10" s="138">
        <f>D8+E8+F8</f>
        <v>115</v>
      </c>
      <c r="F10" s="138"/>
      <c r="G10" s="200"/>
      <c r="H10" s="130"/>
    </row>
    <row r="11" spans="1:18" ht="17.25" customHeight="1" thickBot="1">
      <c r="A11" s="130"/>
      <c r="B11" s="202"/>
      <c r="C11" s="203"/>
      <c r="D11" s="203"/>
      <c r="E11" s="203"/>
      <c r="F11" s="203"/>
      <c r="G11" s="204"/>
      <c r="H11" s="301"/>
    </row>
    <row r="12" spans="1:18" ht="16.5" customHeight="1">
      <c r="A12" s="130"/>
      <c r="B12" s="130"/>
      <c r="C12" s="130"/>
      <c r="D12" s="130"/>
      <c r="E12" s="130"/>
      <c r="F12" s="130"/>
      <c r="G12" s="130"/>
      <c r="H12" s="130"/>
    </row>
  </sheetData>
  <mergeCells count="3">
    <mergeCell ref="B2:G2"/>
    <mergeCell ref="O3:P3"/>
    <mergeCell ref="B10:C10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1"/>
  <sheetViews>
    <sheetView zoomScale="90" zoomScaleNormal="90" workbookViewId="0">
      <selection activeCell="F18" sqref="F18"/>
    </sheetView>
  </sheetViews>
  <sheetFormatPr defaultColWidth="9.1796875" defaultRowHeight="12.5"/>
  <cols>
    <col min="1" max="1" width="9.1796875" style="44"/>
    <col min="2" max="2" width="18.7265625" style="44" customWidth="1"/>
    <col min="3" max="3" width="19.26953125" style="44" customWidth="1"/>
    <col min="4" max="4" width="15.7265625" style="44" customWidth="1"/>
    <col min="5" max="5" width="17.26953125" style="44" customWidth="1"/>
    <col min="6" max="6" width="15.453125" style="44" bestFit="1" customWidth="1"/>
    <col min="7" max="7" width="17" style="44" customWidth="1"/>
    <col min="8" max="15" width="10.453125" style="44" customWidth="1"/>
    <col min="16" max="16" width="11.453125" style="44" customWidth="1"/>
    <col min="17" max="17" width="11.1796875" style="44" customWidth="1"/>
    <col min="18" max="19" width="9.54296875" style="44" bestFit="1" customWidth="1"/>
    <col min="20" max="20" width="11.54296875" style="44" customWidth="1"/>
    <col min="21" max="21" width="11.26953125" style="44" customWidth="1"/>
    <col min="22" max="16384" width="9.1796875" style="44"/>
  </cols>
  <sheetData>
    <row r="1" spans="2:20" ht="13" thickBot="1"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</row>
    <row r="2" spans="2:20" ht="13.5" thickBot="1">
      <c r="B2" s="374" t="s">
        <v>135</v>
      </c>
      <c r="C2" s="375"/>
      <c r="D2" s="375"/>
      <c r="E2" s="375"/>
      <c r="F2" s="375"/>
      <c r="G2" s="376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2:20" s="51" customFormat="1" ht="45.75" customHeight="1">
      <c r="B3" s="177"/>
      <c r="C3" s="174" t="s">
        <v>136</v>
      </c>
      <c r="D3" s="175" t="s">
        <v>137</v>
      </c>
      <c r="E3" s="175" t="s">
        <v>116</v>
      </c>
      <c r="F3" s="175" t="s">
        <v>117</v>
      </c>
      <c r="G3" s="178" t="s">
        <v>112</v>
      </c>
    </row>
    <row r="4" spans="2:20">
      <c r="B4" s="52" t="s">
        <v>91</v>
      </c>
      <c r="C4" s="78"/>
      <c r="D4" s="80">
        <v>0</v>
      </c>
      <c r="E4" s="80"/>
      <c r="F4" s="80"/>
      <c r="G4" s="179"/>
    </row>
    <row r="5" spans="2:20">
      <c r="B5" s="52" t="s">
        <v>92</v>
      </c>
      <c r="C5" s="78"/>
      <c r="D5" s="90">
        <v>0</v>
      </c>
      <c r="E5" s="90"/>
      <c r="F5" s="90"/>
      <c r="G5" s="179"/>
    </row>
    <row r="6" spans="2:20">
      <c r="B6" s="52" t="s">
        <v>93</v>
      </c>
      <c r="C6" s="59">
        <v>0</v>
      </c>
      <c r="D6" s="117">
        <v>0</v>
      </c>
      <c r="E6" s="88"/>
      <c r="F6" s="88"/>
      <c r="G6" s="179">
        <f>C6-D6-E6-F6</f>
        <v>0</v>
      </c>
    </row>
    <row r="7" spans="2:20">
      <c r="B7" s="52"/>
      <c r="C7" s="78"/>
      <c r="D7" s="78"/>
      <c r="E7" s="78"/>
      <c r="F7" s="78"/>
      <c r="G7" s="89"/>
    </row>
    <row r="8" spans="2:20" ht="13.5" thickBot="1">
      <c r="B8" s="62" t="s">
        <v>76</v>
      </c>
      <c r="C8" s="105">
        <f>C6</f>
        <v>0</v>
      </c>
      <c r="D8" s="63">
        <f>D6</f>
        <v>0</v>
      </c>
      <c r="E8" s="63">
        <f>E6</f>
        <v>0</v>
      </c>
      <c r="F8" s="63">
        <f>F6</f>
        <v>0</v>
      </c>
      <c r="G8" s="65">
        <f>G6</f>
        <v>0</v>
      </c>
    </row>
    <row r="9" spans="2:20" ht="13">
      <c r="B9" s="199"/>
      <c r="C9" s="190"/>
      <c r="D9" s="191"/>
      <c r="E9" s="192"/>
      <c r="F9" s="192"/>
      <c r="G9" s="200"/>
    </row>
    <row r="10" spans="2:20" ht="13">
      <c r="B10" s="391" t="s">
        <v>77</v>
      </c>
      <c r="C10" s="380"/>
      <c r="D10" s="195"/>
      <c r="E10" s="138">
        <f>D8+E8+F8</f>
        <v>0</v>
      </c>
      <c r="F10" s="138"/>
      <c r="G10" s="200"/>
    </row>
    <row r="11" spans="2:20" ht="13" thickBot="1">
      <c r="B11" s="202"/>
      <c r="C11" s="203"/>
      <c r="D11" s="203"/>
      <c r="E11" s="203"/>
      <c r="F11" s="203"/>
      <c r="G11" s="204"/>
    </row>
  </sheetData>
  <mergeCells count="3">
    <mergeCell ref="C1:T1"/>
    <mergeCell ref="B2:G2"/>
    <mergeCell ref="B10:C10"/>
  </mergeCells>
  <phoneticPr fontId="7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B1:X11"/>
  <sheetViews>
    <sheetView zoomScale="87" zoomScaleNormal="87" workbookViewId="0">
      <selection activeCell="F14" sqref="F14"/>
    </sheetView>
  </sheetViews>
  <sheetFormatPr defaultColWidth="9.1796875" defaultRowHeight="12.5"/>
  <cols>
    <col min="1" max="1" width="3.26953125" style="44" customWidth="1"/>
    <col min="2" max="2" width="18.7265625" style="44" customWidth="1"/>
    <col min="3" max="3" width="13.7265625" style="44" bestFit="1" customWidth="1"/>
    <col min="4" max="4" width="13.1796875" style="44" customWidth="1"/>
    <col min="5" max="5" width="16.54296875" style="44" customWidth="1"/>
    <col min="6" max="7" width="17.1796875" style="44" customWidth="1"/>
    <col min="8" max="8" width="14.81640625" style="44" customWidth="1"/>
    <col min="9" max="9" width="11.7265625" style="44" customWidth="1"/>
    <col min="10" max="13" width="10.1796875" style="44" customWidth="1"/>
    <col min="14" max="14" width="11.1796875" style="44" customWidth="1"/>
    <col min="15" max="15" width="12.81640625" style="44" customWidth="1"/>
    <col min="16" max="16" width="9.81640625" style="44" customWidth="1"/>
    <col min="17" max="17" width="10.7265625" style="44" customWidth="1"/>
    <col min="18" max="18" width="11.453125" style="44" customWidth="1"/>
    <col min="19" max="19" width="11.1796875" style="44" customWidth="1"/>
    <col min="20" max="20" width="9.54296875" style="44" bestFit="1" customWidth="1"/>
    <col min="21" max="21" width="10.7265625" style="44" bestFit="1" customWidth="1"/>
    <col min="22" max="22" width="11.7265625" style="44" bestFit="1" customWidth="1"/>
    <col min="23" max="23" width="9.54296875" style="44" bestFit="1" customWidth="1"/>
    <col min="24" max="24" width="11.54296875" style="44" customWidth="1"/>
    <col min="25" max="25" width="22.54296875" style="44" customWidth="1"/>
    <col min="26" max="16384" width="9.1796875" style="44"/>
  </cols>
  <sheetData>
    <row r="1" spans="2:24" ht="13" thickBot="1">
      <c r="B1" s="41"/>
      <c r="C1" s="42"/>
      <c r="D1" s="43"/>
    </row>
    <row r="2" spans="2:24" ht="13.5" thickBot="1">
      <c r="B2" s="374" t="s">
        <v>138</v>
      </c>
      <c r="C2" s="375"/>
      <c r="D2" s="375"/>
      <c r="E2" s="375"/>
      <c r="F2" s="375"/>
      <c r="G2" s="375"/>
      <c r="H2" s="376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2:24" s="51" customFormat="1" ht="45.75" customHeight="1">
      <c r="B3" s="177"/>
      <c r="C3" s="174" t="s">
        <v>139</v>
      </c>
      <c r="D3" s="175" t="s">
        <v>140</v>
      </c>
      <c r="E3" s="175" t="s">
        <v>141</v>
      </c>
      <c r="F3" s="175" t="s">
        <v>142</v>
      </c>
      <c r="G3" s="175" t="s">
        <v>143</v>
      </c>
      <c r="H3" s="178" t="s">
        <v>112</v>
      </c>
      <c r="U3" s="377"/>
      <c r="V3" s="378"/>
    </row>
    <row r="4" spans="2:24">
      <c r="B4" s="52" t="s">
        <v>91</v>
      </c>
      <c r="C4" s="78"/>
      <c r="D4" s="343">
        <v>20</v>
      </c>
      <c r="E4" s="343">
        <v>3</v>
      </c>
      <c r="F4" s="325">
        <v>2</v>
      </c>
      <c r="G4" s="360">
        <v>0</v>
      </c>
      <c r="H4" s="179"/>
    </row>
    <row r="5" spans="2:24">
      <c r="B5" s="52" t="s">
        <v>92</v>
      </c>
      <c r="C5" s="78"/>
      <c r="D5" s="343">
        <v>20</v>
      </c>
      <c r="E5" s="326">
        <v>3</v>
      </c>
      <c r="F5" s="326">
        <v>2</v>
      </c>
      <c r="G5" s="361">
        <v>0</v>
      </c>
      <c r="H5" s="179"/>
    </row>
    <row r="6" spans="2:24">
      <c r="B6" s="52" t="s">
        <v>93</v>
      </c>
      <c r="C6" s="59">
        <f>West_Summary!C11</f>
        <v>26.678999999999998</v>
      </c>
      <c r="D6" s="343">
        <v>20</v>
      </c>
      <c r="E6" s="326">
        <v>3</v>
      </c>
      <c r="F6" s="326">
        <v>2</v>
      </c>
      <c r="G6" s="361">
        <v>0</v>
      </c>
      <c r="H6" s="179">
        <f>C6-D6-E6-F6</f>
        <v>1.6789999999999985</v>
      </c>
      <c r="J6" s="58"/>
      <c r="K6" s="91"/>
    </row>
    <row r="7" spans="2:24">
      <c r="B7" s="52"/>
      <c r="C7" s="78"/>
      <c r="D7" s="78"/>
      <c r="E7" s="78"/>
      <c r="F7" s="78"/>
      <c r="G7" s="362"/>
      <c r="H7" s="89"/>
      <c r="I7" s="58"/>
      <c r="J7" s="58"/>
    </row>
    <row r="8" spans="2:24" ht="13.5" thickBot="1">
      <c r="B8" s="62" t="s">
        <v>76</v>
      </c>
      <c r="C8" s="105">
        <f t="shared" ref="C8:H8" si="0">C6</f>
        <v>26.678999999999998</v>
      </c>
      <c r="D8" s="63">
        <f t="shared" si="0"/>
        <v>20</v>
      </c>
      <c r="E8" s="63">
        <f t="shared" si="0"/>
        <v>3</v>
      </c>
      <c r="F8" s="63">
        <f t="shared" si="0"/>
        <v>2</v>
      </c>
      <c r="G8" s="93"/>
      <c r="H8" s="65">
        <f t="shared" si="0"/>
        <v>1.6789999999999985</v>
      </c>
      <c r="J8" s="91"/>
    </row>
    <row r="9" spans="2:24" ht="13">
      <c r="B9" s="199"/>
      <c r="C9" s="190"/>
      <c r="D9" s="191"/>
      <c r="E9" s="192"/>
      <c r="F9" s="192"/>
      <c r="G9" s="192"/>
      <c r="H9" s="200"/>
      <c r="J9" s="91"/>
    </row>
    <row r="10" spans="2:24" ht="13">
      <c r="B10" s="391" t="s">
        <v>77</v>
      </c>
      <c r="C10" s="380"/>
      <c r="D10" s="195"/>
      <c r="E10" s="138">
        <f>D6+E6+F6</f>
        <v>25</v>
      </c>
      <c r="F10" s="138"/>
      <c r="G10" s="138"/>
      <c r="H10" s="200"/>
    </row>
    <row r="11" spans="2:24" ht="17.25" customHeight="1" thickBot="1">
      <c r="B11" s="202"/>
      <c r="C11" s="203"/>
      <c r="D11" s="203"/>
      <c r="E11" s="203"/>
      <c r="F11" s="203"/>
      <c r="G11" s="203"/>
      <c r="H11" s="204"/>
      <c r="I11" s="118"/>
      <c r="J11" s="118"/>
      <c r="K11" s="118"/>
      <c r="L11" s="118"/>
    </row>
  </sheetData>
  <mergeCells count="3">
    <mergeCell ref="B2:H2"/>
    <mergeCell ref="U3:V3"/>
    <mergeCell ref="B10:C10"/>
  </mergeCells>
  <phoneticPr fontId="7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B1:I28"/>
  <sheetViews>
    <sheetView showGridLines="0" zoomScale="76" zoomScaleNormal="76" workbookViewId="0">
      <selection activeCell="C11" sqref="C11"/>
    </sheetView>
  </sheetViews>
  <sheetFormatPr defaultColWidth="9.1796875" defaultRowHeight="12.5"/>
  <cols>
    <col min="1" max="1" width="4.1796875" style="44" customWidth="1"/>
    <col min="2" max="2" width="33.26953125" style="44" customWidth="1"/>
    <col min="3" max="3" width="19.81640625" style="44" bestFit="1" customWidth="1"/>
    <col min="4" max="4" width="18.453125" style="44" customWidth="1"/>
    <col min="5" max="5" width="17.7265625" style="44" customWidth="1"/>
    <col min="6" max="6" width="19.1796875" style="44" customWidth="1"/>
    <col min="7" max="7" width="17.54296875" style="44" customWidth="1"/>
    <col min="8" max="8" width="17.54296875" style="44" bestFit="1" customWidth="1"/>
    <col min="9" max="9" width="14.54296875" style="44" bestFit="1" customWidth="1"/>
    <col min="10" max="16384" width="9.1796875" style="44"/>
  </cols>
  <sheetData>
    <row r="1" spans="2:9">
      <c r="B1" s="124"/>
    </row>
    <row r="2" spans="2:9" ht="13">
      <c r="B2" s="395" t="s">
        <v>144</v>
      </c>
      <c r="C2" s="395"/>
      <c r="D2" s="395"/>
      <c r="E2" s="395"/>
      <c r="F2" s="395"/>
      <c r="G2" s="395"/>
    </row>
    <row r="3" spans="2:9" ht="14.5" thickBot="1">
      <c r="B3" s="1"/>
      <c r="C3" s="1"/>
      <c r="D3" s="1"/>
      <c r="E3" s="1"/>
      <c r="F3" s="1"/>
      <c r="G3" s="1"/>
    </row>
    <row r="4" spans="2:9" ht="14">
      <c r="B4" s="24" t="s">
        <v>145</v>
      </c>
      <c r="C4" s="260">
        <v>42712000</v>
      </c>
      <c r="D4" s="304"/>
      <c r="E4" s="226"/>
      <c r="F4" s="227"/>
      <c r="G4" s="228"/>
    </row>
    <row r="5" spans="2:9" ht="14">
      <c r="B5" s="261" t="s">
        <v>146</v>
      </c>
      <c r="C5" s="262">
        <f>C4/D5/1000000</f>
        <v>42.712000000000003</v>
      </c>
      <c r="D5" s="230">
        <v>1</v>
      </c>
      <c r="E5" s="231" t="s">
        <v>147</v>
      </c>
      <c r="F5" s="232"/>
      <c r="G5" s="233"/>
      <c r="H5" s="124"/>
    </row>
    <row r="6" spans="2:9" ht="14.5" thickBot="1">
      <c r="B6" s="263"/>
      <c r="C6" s="264"/>
      <c r="D6" s="396" t="s">
        <v>148</v>
      </c>
      <c r="E6" s="397"/>
      <c r="F6" s="398" t="s">
        <v>149</v>
      </c>
      <c r="G6" s="399"/>
      <c r="H6" s="124"/>
    </row>
    <row r="7" spans="2:9" ht="42.5" thickTop="1">
      <c r="B7" s="265" t="s">
        <v>150</v>
      </c>
      <c r="C7" s="266" t="s">
        <v>151</v>
      </c>
      <c r="D7" s="235" t="s">
        <v>152</v>
      </c>
      <c r="E7" s="236" t="s">
        <v>153</v>
      </c>
      <c r="F7" s="237" t="s">
        <v>154</v>
      </c>
      <c r="G7" s="234" t="s">
        <v>153</v>
      </c>
    </row>
    <row r="8" spans="2:9" ht="14">
      <c r="B8" s="7" t="s">
        <v>15</v>
      </c>
      <c r="C8" s="267">
        <v>20</v>
      </c>
      <c r="D8" s="238">
        <f>C8</f>
        <v>20</v>
      </c>
      <c r="E8" s="239">
        <f>IF(C8/($C$12-$C$11)*$C$5&lt;=D8,C8/$C$12*$C$5,D8)</f>
        <v>16.749803921568628</v>
      </c>
      <c r="F8" s="240"/>
      <c r="G8" s="229">
        <f>E8+C8/($C$8+$C$9+$C$10)*$E$13</f>
        <v>17.443512361466325</v>
      </c>
      <c r="H8" s="133"/>
      <c r="I8" s="133"/>
    </row>
    <row r="9" spans="2:9" ht="14">
      <c r="B9" s="7" t="s">
        <v>7</v>
      </c>
      <c r="C9" s="267">
        <v>26</v>
      </c>
      <c r="D9" s="238">
        <v>19.366666666666667</v>
      </c>
      <c r="E9" s="239">
        <f>IF(C9/($C$12-$C$11)*$C$5&lt;=D9,C9/$C$12*$C$5,D9)</f>
        <v>19.366666666666667</v>
      </c>
      <c r="F9" s="239"/>
      <c r="G9" s="229">
        <f>E9+C9/($C$8+$C$9+$C$10)*$E$13</f>
        <v>20.268487638533678</v>
      </c>
      <c r="H9" s="133"/>
      <c r="I9" s="133"/>
    </row>
    <row r="10" spans="2:9" ht="14">
      <c r="B10" s="7" t="s">
        <v>155</v>
      </c>
      <c r="C10" s="267">
        <v>0</v>
      </c>
      <c r="D10" s="238">
        <v>0</v>
      </c>
      <c r="E10" s="239">
        <f>IF(C10/($C$12-$C$11)*$C$5&lt;=D10,C10/$C$12*$C$5,D10)</f>
        <v>0</v>
      </c>
      <c r="F10" s="240"/>
      <c r="G10" s="229">
        <f>E10+C10/($C$8+$C$9+$C$10)*$E$13</f>
        <v>0</v>
      </c>
      <c r="H10" s="133"/>
      <c r="I10" s="133"/>
    </row>
    <row r="11" spans="2:9" ht="14">
      <c r="B11" s="7" t="s">
        <v>156</v>
      </c>
      <c r="C11" s="267">
        <v>5</v>
      </c>
      <c r="D11" s="238">
        <f t="shared" ref="D11" si="0">C11</f>
        <v>5</v>
      </c>
      <c r="E11" s="239">
        <f>D11</f>
        <v>5</v>
      </c>
      <c r="F11" s="240"/>
      <c r="G11" s="229">
        <f>C11</f>
        <v>5</v>
      </c>
      <c r="H11" s="133"/>
    </row>
    <row r="12" spans="2:9" ht="14">
      <c r="B12" s="7" t="s">
        <v>157</v>
      </c>
      <c r="C12" s="267">
        <f>SUM(C8:C11)</f>
        <v>51</v>
      </c>
      <c r="D12" s="241"/>
      <c r="E12" s="239">
        <f>SUM(E8:E11)</f>
        <v>41.116470588235295</v>
      </c>
      <c r="F12" s="242"/>
      <c r="G12" s="243">
        <f>G8+G9+G11+G10</f>
        <v>42.712000000000003</v>
      </c>
      <c r="H12" s="58"/>
      <c r="I12" s="133"/>
    </row>
    <row r="13" spans="2:9" ht="14.5" thickBot="1">
      <c r="B13" s="268" t="s">
        <v>158</v>
      </c>
      <c r="C13" s="269"/>
      <c r="D13" s="244"/>
      <c r="E13" s="245">
        <f>C5-E12</f>
        <v>1.5955294117647085</v>
      </c>
      <c r="F13" s="246"/>
      <c r="G13" s="247">
        <v>0</v>
      </c>
      <c r="H13" s="58"/>
      <c r="I13" s="58"/>
    </row>
    <row r="14" spans="2:9" ht="14.5" thickBot="1">
      <c r="B14" s="248"/>
      <c r="C14" s="249"/>
      <c r="D14" s="1"/>
      <c r="E14" s="26"/>
      <c r="F14" s="26"/>
      <c r="G14" s="250"/>
      <c r="H14" s="58"/>
      <c r="I14" s="58"/>
    </row>
    <row r="15" spans="2:9" ht="45.75" customHeight="1" thickTop="1">
      <c r="B15" s="251" t="s">
        <v>150</v>
      </c>
      <c r="C15" s="252" t="s">
        <v>159</v>
      </c>
      <c r="D15" s="26"/>
      <c r="E15" s="400"/>
      <c r="F15" s="400"/>
      <c r="G15" s="401"/>
      <c r="H15" s="133"/>
      <c r="I15" s="133"/>
    </row>
    <row r="16" spans="2:9" ht="14">
      <c r="B16" s="253" t="s">
        <v>15</v>
      </c>
      <c r="C16" s="254">
        <f>G8*$D$5*1000000</f>
        <v>17443512.361466326</v>
      </c>
      <c r="D16" s="255"/>
      <c r="E16" s="400"/>
      <c r="F16" s="400"/>
      <c r="G16" s="401"/>
      <c r="H16" s="133"/>
      <c r="I16" s="133"/>
    </row>
    <row r="17" spans="2:9" ht="14">
      <c r="B17" s="253" t="s">
        <v>7</v>
      </c>
      <c r="C17" s="254">
        <f>G9*$D$5*1000000</f>
        <v>20268487.638533678</v>
      </c>
      <c r="D17" s="26"/>
      <c r="E17" s="400"/>
      <c r="F17" s="400"/>
      <c r="G17" s="401"/>
      <c r="H17" s="133"/>
    </row>
    <row r="18" spans="2:9" ht="14">
      <c r="B18" s="253" t="s">
        <v>155</v>
      </c>
      <c r="C18" s="254">
        <f>G10*$D$5*1000000</f>
        <v>0</v>
      </c>
      <c r="D18" s="26"/>
      <c r="E18" s="400"/>
      <c r="F18" s="400"/>
      <c r="G18" s="401"/>
      <c r="H18" s="133"/>
    </row>
    <row r="19" spans="2:9" ht="14">
      <c r="B19" s="253" t="s">
        <v>156</v>
      </c>
      <c r="C19" s="254">
        <f>G11*$D$5*1000000</f>
        <v>5000000</v>
      </c>
      <c r="D19" s="1"/>
      <c r="E19" s="400"/>
      <c r="F19" s="400"/>
      <c r="G19" s="401"/>
      <c r="H19" s="58"/>
      <c r="I19" s="133"/>
    </row>
    <row r="20" spans="2:9" ht="14.5" thickBot="1">
      <c r="B20" s="256" t="s">
        <v>160</v>
      </c>
      <c r="C20" s="257">
        <f>SUM(C16:C19)</f>
        <v>42712000</v>
      </c>
      <c r="D20" s="1"/>
      <c r="E20" s="400"/>
      <c r="F20" s="400"/>
      <c r="G20" s="401"/>
      <c r="H20" s="58"/>
      <c r="I20" s="58"/>
    </row>
    <row r="21" spans="2:9" ht="14.5" thickBot="1">
      <c r="B21" s="258"/>
      <c r="C21" s="259"/>
      <c r="D21" s="259"/>
      <c r="E21" s="402"/>
      <c r="F21" s="402"/>
      <c r="G21" s="403"/>
      <c r="H21" s="58"/>
      <c r="I21" s="58"/>
    </row>
    <row r="22" spans="2:9" ht="30" customHeight="1">
      <c r="B22" s="404"/>
      <c r="C22" s="404"/>
      <c r="D22" s="404"/>
      <c r="E22" s="404"/>
      <c r="F22" s="404"/>
      <c r="G22" s="404"/>
    </row>
    <row r="23" spans="2:9" ht="14">
      <c r="B23" s="405" t="s">
        <v>161</v>
      </c>
      <c r="C23" s="405"/>
      <c r="D23" s="1"/>
      <c r="E23" s="394"/>
      <c r="F23" s="394"/>
      <c r="G23" s="222"/>
    </row>
    <row r="24" spans="2:9" ht="20.5" customHeight="1">
      <c r="B24" s="211" t="s">
        <v>162</v>
      </c>
      <c r="C24" s="212">
        <f>C16+C17</f>
        <v>37712000</v>
      </c>
      <c r="D24" s="1"/>
      <c r="E24" s="394"/>
      <c r="F24" s="394"/>
      <c r="G24" s="223"/>
      <c r="H24" s="58"/>
    </row>
    <row r="25" spans="2:9" ht="14">
      <c r="B25" s="211" t="s">
        <v>156</v>
      </c>
      <c r="C25" s="210">
        <f>C19</f>
        <v>5000000</v>
      </c>
      <c r="D25" s="1"/>
      <c r="E25" s="224"/>
      <c r="F25" s="224"/>
      <c r="G25" s="223"/>
      <c r="H25" s="58"/>
    </row>
    <row r="26" spans="2:9" ht="14">
      <c r="B26" s="211" t="s">
        <v>155</v>
      </c>
      <c r="C26" s="210">
        <f>C18</f>
        <v>0</v>
      </c>
      <c r="D26" s="1"/>
      <c r="E26" s="1"/>
      <c r="F26" s="1"/>
      <c r="G26" s="1"/>
    </row>
    <row r="28" spans="2:9">
      <c r="E28" s="91"/>
    </row>
  </sheetData>
  <mergeCells count="8">
    <mergeCell ref="E24:F24"/>
    <mergeCell ref="B2:G2"/>
    <mergeCell ref="D6:E6"/>
    <mergeCell ref="F6:G6"/>
    <mergeCell ref="E15:G21"/>
    <mergeCell ref="B22:G22"/>
    <mergeCell ref="B23:C23"/>
    <mergeCell ref="E23:F23"/>
  </mergeCells>
  <pageMargins left="0.7" right="0.7" top="0.75" bottom="0.75" header="0.3" footer="0.3"/>
  <pageSetup scale="8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O31"/>
  <sheetViews>
    <sheetView showGridLines="0" zoomScale="88" zoomScaleNormal="88" workbookViewId="0">
      <selection activeCell="F7" sqref="F7"/>
    </sheetView>
  </sheetViews>
  <sheetFormatPr defaultColWidth="9.1796875" defaultRowHeight="12.5"/>
  <cols>
    <col min="1" max="1" width="16" style="44" customWidth="1"/>
    <col min="2" max="2" width="19.7265625" style="44" bestFit="1" customWidth="1"/>
    <col min="3" max="3" width="10.7265625" style="44" bestFit="1" customWidth="1"/>
    <col min="4" max="4" width="10.54296875" style="44" bestFit="1" customWidth="1"/>
    <col min="5" max="5" width="11" style="44" bestFit="1" customWidth="1"/>
    <col min="6" max="6" width="9.54296875" style="44" bestFit="1" customWidth="1"/>
    <col min="7" max="7" width="10.1796875" style="44" bestFit="1" customWidth="1"/>
    <col min="8" max="8" width="9.1796875" style="44" bestFit="1" customWidth="1"/>
    <col min="9" max="9" width="12.81640625" style="44" customWidth="1"/>
    <col min="10" max="10" width="10" style="44" bestFit="1" customWidth="1"/>
    <col min="11" max="11" width="10" style="44" customWidth="1"/>
    <col min="12" max="12" width="11.7265625" style="44" customWidth="1"/>
    <col min="13" max="13" width="11" style="44" bestFit="1" customWidth="1"/>
    <col min="14" max="14" width="10.453125" style="44" bestFit="1" customWidth="1"/>
    <col min="15" max="15" width="11.7265625" style="44" customWidth="1"/>
    <col min="16" max="16384" width="9.1796875" style="44"/>
  </cols>
  <sheetData>
    <row r="1" spans="2:15" ht="13" thickBot="1">
      <c r="B1" s="41"/>
      <c r="C1" s="42"/>
      <c r="D1" s="43"/>
    </row>
    <row r="2" spans="2:15" ht="13.5" thickBot="1">
      <c r="B2" s="374" t="s">
        <v>163</v>
      </c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6"/>
      <c r="O2" s="45"/>
    </row>
    <row r="3" spans="2:15" s="51" customFormat="1" ht="45.75" customHeight="1">
      <c r="B3" s="177"/>
      <c r="C3" s="174" t="s">
        <v>164</v>
      </c>
      <c r="D3" s="175" t="s">
        <v>165</v>
      </c>
      <c r="E3" s="175" t="s">
        <v>166</v>
      </c>
      <c r="F3" s="175" t="s">
        <v>167</v>
      </c>
      <c r="G3" s="175" t="s">
        <v>126</v>
      </c>
      <c r="H3" s="175" t="s">
        <v>168</v>
      </c>
      <c r="I3" s="175" t="s">
        <v>102</v>
      </c>
      <c r="J3" s="175" t="s">
        <v>169</v>
      </c>
      <c r="K3" s="175" t="s">
        <v>170</v>
      </c>
      <c r="L3" s="175" t="s">
        <v>171</v>
      </c>
      <c r="M3" s="175" t="s">
        <v>172</v>
      </c>
      <c r="N3" s="178" t="s">
        <v>173</v>
      </c>
    </row>
    <row r="4" spans="2:15">
      <c r="B4" s="52" t="s">
        <v>91</v>
      </c>
      <c r="C4" s="78"/>
      <c r="D4" s="80">
        <v>40</v>
      </c>
      <c r="E4" s="80">
        <v>103</v>
      </c>
      <c r="F4" s="80">
        <v>12</v>
      </c>
      <c r="G4" s="80">
        <v>30</v>
      </c>
      <c r="H4" s="80"/>
      <c r="I4" s="58">
        <v>0</v>
      </c>
      <c r="J4" s="139">
        <v>80</v>
      </c>
      <c r="K4" s="139">
        <v>0</v>
      </c>
      <c r="L4" s="139">
        <v>0</v>
      </c>
      <c r="M4" s="80">
        <v>10</v>
      </c>
      <c r="N4" s="179"/>
    </row>
    <row r="5" spans="2:15">
      <c r="B5" s="52" t="s">
        <v>92</v>
      </c>
      <c r="C5" s="78"/>
      <c r="D5" s="80">
        <v>40</v>
      </c>
      <c r="E5" s="80">
        <v>97</v>
      </c>
      <c r="F5" s="80">
        <v>12</v>
      </c>
      <c r="G5" s="80">
        <v>30</v>
      </c>
      <c r="H5" s="140"/>
      <c r="I5" s="140">
        <v>0</v>
      </c>
      <c r="J5" s="139">
        <v>50</v>
      </c>
      <c r="K5" s="80">
        <v>0</v>
      </c>
      <c r="L5" s="139">
        <v>0</v>
      </c>
      <c r="M5" s="80">
        <v>10</v>
      </c>
      <c r="N5" s="179"/>
    </row>
    <row r="6" spans="2:15">
      <c r="B6" s="52" t="s">
        <v>93</v>
      </c>
      <c r="C6" s="58">
        <f>West_Summary!C14</f>
        <v>253.25200000000001</v>
      </c>
      <c r="D6" s="80">
        <v>40</v>
      </c>
      <c r="E6" s="80">
        <v>97</v>
      </c>
      <c r="F6" s="80">
        <v>12</v>
      </c>
      <c r="G6" s="80">
        <v>30</v>
      </c>
      <c r="H6" s="80">
        <f>C6-D6-E6-G6-F6</f>
        <v>74.25200000000001</v>
      </c>
      <c r="I6" s="80">
        <v>0</v>
      </c>
      <c r="J6" s="139">
        <v>50</v>
      </c>
      <c r="K6" s="80">
        <v>0</v>
      </c>
      <c r="L6" s="80">
        <v>0</v>
      </c>
      <c r="M6" s="80">
        <v>10</v>
      </c>
      <c r="N6" s="179">
        <f>H6-I6-M6-J6-K6</f>
        <v>14.25200000000001</v>
      </c>
    </row>
    <row r="7" spans="2:15">
      <c r="B7" s="52"/>
      <c r="C7" s="53"/>
      <c r="D7" s="53"/>
      <c r="E7" s="53"/>
      <c r="F7" s="78"/>
      <c r="G7" s="78"/>
      <c r="H7" s="78"/>
      <c r="I7" s="78"/>
      <c r="J7" s="78"/>
      <c r="K7" s="78"/>
      <c r="L7" s="78"/>
      <c r="M7" s="78"/>
      <c r="N7" s="89"/>
    </row>
    <row r="8" spans="2:15" ht="13.5" thickBot="1">
      <c r="B8" s="62" t="s">
        <v>76</v>
      </c>
      <c r="C8" s="105">
        <f>C6</f>
        <v>253.25200000000001</v>
      </c>
      <c r="D8" s="63">
        <f>D6</f>
        <v>40</v>
      </c>
      <c r="E8" s="63">
        <f>E6</f>
        <v>97</v>
      </c>
      <c r="F8" s="63">
        <f t="shared" ref="F8:N8" si="0">F6</f>
        <v>12</v>
      </c>
      <c r="G8" s="141">
        <f t="shared" si="0"/>
        <v>30</v>
      </c>
      <c r="H8" s="141"/>
      <c r="I8" s="141">
        <f t="shared" si="0"/>
        <v>0</v>
      </c>
      <c r="J8" s="141">
        <f t="shared" si="0"/>
        <v>50</v>
      </c>
      <c r="K8" s="141">
        <f t="shared" si="0"/>
        <v>0</v>
      </c>
      <c r="L8" s="141">
        <f t="shared" si="0"/>
        <v>0</v>
      </c>
      <c r="M8" s="141">
        <f t="shared" si="0"/>
        <v>10</v>
      </c>
      <c r="N8" s="65">
        <f t="shared" si="0"/>
        <v>14.25200000000001</v>
      </c>
      <c r="O8" s="58"/>
    </row>
    <row r="9" spans="2:15">
      <c r="B9" s="66"/>
      <c r="N9" s="68"/>
      <c r="O9" s="58"/>
    </row>
    <row r="10" spans="2:15" ht="13">
      <c r="B10" s="391" t="s">
        <v>77</v>
      </c>
      <c r="C10" s="380"/>
      <c r="D10" s="380"/>
      <c r="E10" s="185"/>
      <c r="F10" s="186"/>
      <c r="G10" s="138">
        <f>D8+E8+F8+G8+I8+J8+M8+K8</f>
        <v>239</v>
      </c>
      <c r="H10" s="185"/>
      <c r="I10" s="67"/>
      <c r="J10" s="67"/>
      <c r="K10" s="67"/>
      <c r="L10" s="67"/>
      <c r="M10" s="58"/>
      <c r="N10" s="68"/>
    </row>
    <row r="11" spans="2:15" ht="13" thickBot="1">
      <c r="B11" s="74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6"/>
    </row>
    <row r="16" spans="2:15">
      <c r="I16" s="124"/>
      <c r="J16" s="124"/>
      <c r="K16" s="124"/>
      <c r="L16" s="124"/>
    </row>
    <row r="31" spans="4:4">
      <c r="D31" s="44" t="s">
        <v>174</v>
      </c>
    </row>
  </sheetData>
  <mergeCells count="2">
    <mergeCell ref="B2:N2"/>
    <mergeCell ref="B10:D1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topLeftCell="B1" zoomScale="90" zoomScaleNormal="90" workbookViewId="0">
      <selection activeCell="E7" sqref="E7"/>
    </sheetView>
  </sheetViews>
  <sheetFormatPr defaultColWidth="9.1796875" defaultRowHeight="12.5"/>
  <cols>
    <col min="1" max="1" width="3.81640625" style="44" customWidth="1"/>
    <col min="2" max="2" width="18.7265625" style="44" customWidth="1"/>
    <col min="3" max="3" width="19.26953125" style="152" customWidth="1"/>
    <col min="4" max="4" width="18.453125" style="44" bestFit="1" customWidth="1"/>
    <col min="5" max="5" width="16.453125" style="44" bestFit="1" customWidth="1"/>
    <col min="6" max="6" width="15" style="44" customWidth="1"/>
    <col min="7" max="7" width="15.81640625" style="44" bestFit="1" customWidth="1"/>
    <col min="8" max="8" width="11" style="44" bestFit="1" customWidth="1"/>
    <col min="9" max="9" width="9.453125" style="44" customWidth="1"/>
    <col min="10" max="10" width="9.1796875" style="44" customWidth="1"/>
    <col min="11" max="11" width="9.7265625" style="44" bestFit="1" customWidth="1"/>
    <col min="12" max="12" width="11.54296875" style="44" customWidth="1"/>
    <col min="13" max="13" width="22.54296875" style="44" customWidth="1"/>
    <col min="14" max="16384" width="9.1796875" style="44"/>
  </cols>
  <sheetData>
    <row r="1" spans="2:12" ht="13" thickBot="1">
      <c r="B1" s="41"/>
      <c r="C1" s="149"/>
      <c r="D1" s="43"/>
    </row>
    <row r="2" spans="2:12" ht="13.5" thickBot="1">
      <c r="B2" s="374" t="s">
        <v>175</v>
      </c>
      <c r="C2" s="375"/>
      <c r="D2" s="375"/>
      <c r="E2" s="375"/>
      <c r="F2" s="375"/>
      <c r="G2" s="376"/>
      <c r="H2" s="45"/>
      <c r="I2" s="45"/>
      <c r="J2" s="45"/>
      <c r="K2" s="45"/>
      <c r="L2" s="45"/>
    </row>
    <row r="3" spans="2:12" s="51" customFormat="1" ht="45.75" customHeight="1">
      <c r="B3" s="173"/>
      <c r="C3" s="312" t="s">
        <v>176</v>
      </c>
      <c r="D3" s="175" t="s">
        <v>177</v>
      </c>
      <c r="E3" s="175" t="s">
        <v>178</v>
      </c>
      <c r="F3" s="175" t="s">
        <v>179</v>
      </c>
      <c r="G3" s="176" t="s">
        <v>71</v>
      </c>
      <c r="I3" s="377"/>
      <c r="J3" s="378"/>
    </row>
    <row r="4" spans="2:12">
      <c r="B4" s="52" t="s">
        <v>91</v>
      </c>
      <c r="C4" s="150"/>
      <c r="D4" s="54">
        <f>'CNL Allocation '!D4</f>
        <v>105</v>
      </c>
      <c r="E4" s="87">
        <f>'NPDC JV ALLOCATION'!H4</f>
        <v>45</v>
      </c>
      <c r="F4" s="54"/>
      <c r="G4" s="102"/>
    </row>
    <row r="5" spans="2:12">
      <c r="B5" s="52" t="s">
        <v>92</v>
      </c>
      <c r="C5" s="150"/>
      <c r="D5" s="54">
        <f>'CNL Allocation '!D5</f>
        <v>105</v>
      </c>
      <c r="E5" s="87">
        <f>'NPDC JV ALLOCATION'!H5</f>
        <v>45</v>
      </c>
      <c r="F5" s="313"/>
      <c r="G5" s="102"/>
    </row>
    <row r="6" spans="2:12">
      <c r="B6" s="52" t="s">
        <v>93</v>
      </c>
      <c r="C6" s="117">
        <f>West_Summary!C18</f>
        <v>105.886</v>
      </c>
      <c r="D6" s="117">
        <f>'CNL Allocation '!D6</f>
        <v>105</v>
      </c>
      <c r="E6" s="88">
        <f>'Egbin Allocation'!G20</f>
        <v>31.765799999999999</v>
      </c>
      <c r="F6" s="88"/>
      <c r="G6" s="102">
        <f>SUM(D6:E6)-C6</f>
        <v>30.879800000000017</v>
      </c>
      <c r="H6" s="58"/>
    </row>
    <row r="7" spans="2:12">
      <c r="B7" s="101"/>
      <c r="C7" s="150"/>
      <c r="D7" s="78"/>
      <c r="E7" s="78"/>
      <c r="F7" s="92"/>
      <c r="G7" s="103"/>
      <c r="H7" s="58"/>
      <c r="I7" s="58"/>
    </row>
    <row r="8" spans="2:12" ht="13.5" thickBot="1">
      <c r="B8" s="104" t="s">
        <v>76</v>
      </c>
      <c r="C8" s="151">
        <f t="shared" ref="C8:G8" si="0">C6</f>
        <v>105.886</v>
      </c>
      <c r="D8" s="63">
        <f t="shared" si="0"/>
        <v>105</v>
      </c>
      <c r="E8" s="63">
        <f t="shared" si="0"/>
        <v>31.765799999999999</v>
      </c>
      <c r="F8" s="63">
        <f t="shared" si="0"/>
        <v>0</v>
      </c>
      <c r="G8" s="106">
        <f t="shared" si="0"/>
        <v>30.879800000000017</v>
      </c>
      <c r="H8" s="58"/>
      <c r="I8" s="58"/>
    </row>
    <row r="9" spans="2:12" ht="13">
      <c r="B9" s="189"/>
      <c r="C9" s="307"/>
      <c r="D9" s="191"/>
      <c r="E9" s="191"/>
      <c r="F9" s="191"/>
      <c r="G9" s="193"/>
      <c r="H9" s="58"/>
      <c r="I9" s="58"/>
    </row>
    <row r="10" spans="2:12" ht="13">
      <c r="B10" s="189"/>
      <c r="C10" s="307"/>
      <c r="D10" s="191"/>
      <c r="E10" s="192"/>
      <c r="F10" s="192"/>
      <c r="G10" s="193"/>
      <c r="H10" s="58"/>
      <c r="I10" s="58"/>
      <c r="J10" s="58"/>
      <c r="K10" s="58"/>
      <c r="L10" s="58"/>
    </row>
    <row r="11" spans="2:12" ht="13">
      <c r="B11" s="379" t="s">
        <v>77</v>
      </c>
      <c r="C11" s="380"/>
      <c r="D11" s="195"/>
      <c r="E11" s="138">
        <f>D8+E8</f>
        <v>136.76580000000001</v>
      </c>
      <c r="F11" s="138"/>
      <c r="G11" s="193"/>
      <c r="H11" s="58"/>
    </row>
    <row r="12" spans="2:12" ht="17.25" customHeight="1" thickBot="1">
      <c r="B12" s="196"/>
      <c r="C12" s="314"/>
      <c r="D12" s="197"/>
      <c r="E12" s="197"/>
      <c r="F12" s="197"/>
      <c r="G12" s="198"/>
    </row>
    <row r="13" spans="2:12" ht="13" thickTop="1"/>
    <row r="15" spans="2:12">
      <c r="D15" s="58"/>
    </row>
  </sheetData>
  <mergeCells count="3">
    <mergeCell ref="B2:G2"/>
    <mergeCell ref="I3:J3"/>
    <mergeCell ref="B11:C11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1:AO20"/>
  <sheetViews>
    <sheetView zoomScale="81" zoomScaleNormal="81" workbookViewId="0">
      <selection activeCell="G21" sqref="G21"/>
    </sheetView>
  </sheetViews>
  <sheetFormatPr defaultColWidth="9.1796875" defaultRowHeight="12.5"/>
  <cols>
    <col min="1" max="1" width="4.1796875" style="44" customWidth="1"/>
    <col min="2" max="2" width="18.81640625" style="44" bestFit="1" customWidth="1"/>
    <col min="3" max="3" width="8.1796875" style="67" bestFit="1" customWidth="1"/>
    <col min="4" max="4" width="7.7265625" style="67" bestFit="1" customWidth="1"/>
    <col min="5" max="5" width="8.26953125" style="67" bestFit="1" customWidth="1"/>
    <col min="6" max="6" width="9.453125" style="67" bestFit="1" customWidth="1"/>
    <col min="7" max="7" width="9" style="67" bestFit="1" customWidth="1"/>
    <col min="8" max="8" width="7.81640625" style="67" bestFit="1" customWidth="1"/>
    <col min="9" max="10" width="8" style="67" bestFit="1" customWidth="1"/>
    <col min="11" max="11" width="7.81640625" style="67" bestFit="1" customWidth="1"/>
    <col min="12" max="12" width="7.7265625" style="67" bestFit="1" customWidth="1"/>
    <col min="13" max="13" width="8" style="67" bestFit="1" customWidth="1"/>
    <col min="14" max="15" width="8.1796875" style="67" bestFit="1" customWidth="1"/>
    <col min="16" max="20" width="7.7265625" style="67" bestFit="1" customWidth="1"/>
    <col min="21" max="21" width="7.81640625" style="67" bestFit="1" customWidth="1"/>
    <col min="22" max="25" width="7.7265625" style="67" bestFit="1" customWidth="1"/>
    <col min="26" max="26" width="7.81640625" style="67" bestFit="1" customWidth="1"/>
    <col min="27" max="27" width="8" style="67" bestFit="1" customWidth="1"/>
    <col min="28" max="28" width="8.26953125" style="67" bestFit="1" customWidth="1"/>
    <col min="29" max="29" width="8" style="67" bestFit="1" customWidth="1"/>
    <col min="30" max="30" width="7.81640625" style="67" bestFit="1" customWidth="1"/>
    <col min="31" max="31" width="7.54296875" style="67" bestFit="1" customWidth="1"/>
    <col min="32" max="32" width="7.54296875" style="67" customWidth="1"/>
    <col min="33" max="33" width="14.26953125" style="44" bestFit="1" customWidth="1"/>
    <col min="34" max="34" width="15" style="44" customWidth="1"/>
    <col min="35" max="16384" width="9.1796875" style="44"/>
  </cols>
  <sheetData>
    <row r="1" spans="2:34">
      <c r="C1" s="171">
        <v>1</v>
      </c>
      <c r="D1" s="171">
        <v>2</v>
      </c>
      <c r="E1" s="171">
        <v>3</v>
      </c>
      <c r="F1" s="171">
        <v>4</v>
      </c>
      <c r="G1" s="171">
        <v>5</v>
      </c>
      <c r="H1" s="171">
        <v>6</v>
      </c>
      <c r="I1" s="171">
        <v>7</v>
      </c>
      <c r="J1" s="171">
        <v>8</v>
      </c>
      <c r="K1" s="171">
        <v>9</v>
      </c>
      <c r="L1" s="171">
        <v>10</v>
      </c>
      <c r="M1" s="171">
        <v>11</v>
      </c>
      <c r="N1" s="171">
        <v>12</v>
      </c>
      <c r="O1" s="171">
        <v>13</v>
      </c>
      <c r="P1" s="171">
        <v>14</v>
      </c>
      <c r="Q1" s="171">
        <v>15</v>
      </c>
      <c r="R1" s="171">
        <v>16</v>
      </c>
      <c r="S1" s="171">
        <v>17</v>
      </c>
      <c r="T1" s="171">
        <v>18</v>
      </c>
      <c r="U1" s="171">
        <v>19</v>
      </c>
      <c r="V1" s="171">
        <v>20</v>
      </c>
      <c r="W1" s="171">
        <v>21</v>
      </c>
      <c r="X1" s="171">
        <v>22</v>
      </c>
      <c r="Y1" s="171">
        <v>23</v>
      </c>
      <c r="Z1" s="171">
        <v>24</v>
      </c>
      <c r="AA1" s="171">
        <v>25</v>
      </c>
      <c r="AB1" s="171">
        <v>26</v>
      </c>
      <c r="AC1" s="171">
        <v>27</v>
      </c>
      <c r="AD1" s="171">
        <v>28</v>
      </c>
      <c r="AE1" s="171">
        <v>29</v>
      </c>
      <c r="AF1" s="171">
        <v>30</v>
      </c>
    </row>
    <row r="2" spans="2:34">
      <c r="B2" s="41" t="s">
        <v>180</v>
      </c>
      <c r="C2" s="44">
        <v>132.066</v>
      </c>
      <c r="D2" s="44">
        <v>146.602</v>
      </c>
      <c r="E2" s="44">
        <v>142.304</v>
      </c>
      <c r="F2" s="44">
        <v>139.72</v>
      </c>
      <c r="G2" s="44"/>
      <c r="H2" s="44">
        <v>105.886</v>
      </c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167">
        <f>SUM(C2:AF2)</f>
        <v>666.57799999999997</v>
      </c>
    </row>
    <row r="3" spans="2:34"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167">
        <f>SUM(C3:AF3)</f>
        <v>0</v>
      </c>
    </row>
    <row r="5" spans="2:34" ht="32.5" customHeight="1">
      <c r="B5" s="406" t="s">
        <v>181</v>
      </c>
      <c r="C5" s="406"/>
      <c r="AG5" s="44" t="s">
        <v>182</v>
      </c>
      <c r="AH5" s="118" t="s">
        <v>183</v>
      </c>
    </row>
    <row r="6" spans="2:34">
      <c r="B6" s="44" t="s">
        <v>6</v>
      </c>
      <c r="C6" s="44">
        <v>252.91300000000001</v>
      </c>
      <c r="D6" s="44">
        <v>220.5866</v>
      </c>
      <c r="E6" s="44">
        <v>233.58359999999999</v>
      </c>
      <c r="F6" s="44">
        <v>192.58500000000001</v>
      </c>
      <c r="G6" s="44"/>
      <c r="H6" s="44">
        <v>191.4598</v>
      </c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124">
        <f>AVERAGE(C6:AF6)</f>
        <v>218.22560000000004</v>
      </c>
      <c r="AH6" s="125">
        <f>AG6</f>
        <v>218.22560000000004</v>
      </c>
    </row>
    <row r="7" spans="2:34">
      <c r="B7" s="44" t="s">
        <v>184</v>
      </c>
      <c r="C7" s="294">
        <v>214.22</v>
      </c>
      <c r="D7" s="294">
        <v>219.91</v>
      </c>
      <c r="E7" s="294">
        <v>184.73</v>
      </c>
      <c r="F7" s="294">
        <v>214.24</v>
      </c>
      <c r="G7" s="294"/>
      <c r="H7" s="294">
        <v>217.12</v>
      </c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124">
        <f>AVERAGE(C7:AF7)</f>
        <v>210.04400000000001</v>
      </c>
      <c r="AH7" s="126">
        <f>AG7</f>
        <v>210.04400000000001</v>
      </c>
    </row>
    <row r="8" spans="2:34">
      <c r="AH8" s="42"/>
    </row>
    <row r="9" spans="2:34">
      <c r="B9" s="406" t="s">
        <v>92</v>
      </c>
      <c r="C9" s="406"/>
      <c r="AH9" s="42"/>
    </row>
    <row r="10" spans="2:34">
      <c r="B10" s="44" t="s">
        <v>6</v>
      </c>
      <c r="C10" s="44">
        <v>66</v>
      </c>
      <c r="D10" s="58">
        <f>Egbin_Attribution!D4</f>
        <v>105</v>
      </c>
      <c r="E10" s="58">
        <v>105</v>
      </c>
      <c r="F10" s="58">
        <v>105</v>
      </c>
      <c r="G10" s="58">
        <v>105</v>
      </c>
      <c r="H10" s="58">
        <v>105</v>
      </c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124">
        <f>AVERAGE(C10:AF10)</f>
        <v>98.5</v>
      </c>
      <c r="AH10" s="125">
        <f>AG6/AH6*AG10</f>
        <v>98.5</v>
      </c>
    </row>
    <row r="11" spans="2:34">
      <c r="B11" s="44" t="s">
        <v>184</v>
      </c>
      <c r="C11" s="44">
        <v>45</v>
      </c>
      <c r="D11" s="58">
        <f>Egbin_Attribution!E4</f>
        <v>45</v>
      </c>
      <c r="E11" s="58">
        <v>45</v>
      </c>
      <c r="F11" s="58">
        <v>45</v>
      </c>
      <c r="G11" s="58">
        <v>45</v>
      </c>
      <c r="H11" s="58">
        <v>45</v>
      </c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124">
        <f>AVERAGE(C11:AF11)</f>
        <v>45</v>
      </c>
      <c r="AH11" s="125">
        <f>AG7/AH7*AG11</f>
        <v>45</v>
      </c>
    </row>
    <row r="12" spans="2:34" ht="17.5" customHeight="1">
      <c r="B12" s="78" t="s">
        <v>76</v>
      </c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  <c r="X12" s="163"/>
      <c r="Y12" s="163"/>
      <c r="Z12" s="163"/>
      <c r="AA12" s="163"/>
      <c r="AB12" s="163"/>
      <c r="AC12" s="163"/>
      <c r="AD12" s="163"/>
      <c r="AE12" s="163"/>
      <c r="AF12" s="163"/>
      <c r="AG12" s="78" t="s">
        <v>157</v>
      </c>
    </row>
    <row r="13" spans="2:34" ht="17.5" customHeight="1">
      <c r="B13" s="78" t="s">
        <v>6</v>
      </c>
      <c r="C13" s="163">
        <f t="shared" ref="C13:AF13" si="0">C2*$AH$10/($AH$10+$AH$11)</f>
        <v>90.651574912891988</v>
      </c>
      <c r="D13" s="163">
        <f>D2*$AH$10/($AH$10+$AH$11)</f>
        <v>100.62924738675959</v>
      </c>
      <c r="E13" s="163">
        <f t="shared" si="0"/>
        <v>97.679052264808362</v>
      </c>
      <c r="F13" s="163">
        <f t="shared" si="0"/>
        <v>95.905365853658537</v>
      </c>
      <c r="G13" s="163">
        <f t="shared" si="0"/>
        <v>0</v>
      </c>
      <c r="H13" s="163">
        <f>H2*$H$10/($H$10+$H$11)</f>
        <v>74.120199999999997</v>
      </c>
      <c r="I13" s="163">
        <f t="shared" si="0"/>
        <v>0</v>
      </c>
      <c r="J13" s="163">
        <f t="shared" si="0"/>
        <v>0</v>
      </c>
      <c r="K13" s="163">
        <f t="shared" si="0"/>
        <v>0</v>
      </c>
      <c r="L13" s="163">
        <f t="shared" si="0"/>
        <v>0</v>
      </c>
      <c r="M13" s="163">
        <f t="shared" si="0"/>
        <v>0</v>
      </c>
      <c r="N13" s="163">
        <f t="shared" si="0"/>
        <v>0</v>
      </c>
      <c r="O13" s="163">
        <f t="shared" si="0"/>
        <v>0</v>
      </c>
      <c r="P13" s="163">
        <f t="shared" si="0"/>
        <v>0</v>
      </c>
      <c r="Q13" s="163">
        <f t="shared" si="0"/>
        <v>0</v>
      </c>
      <c r="R13" s="163">
        <f t="shared" si="0"/>
        <v>0</v>
      </c>
      <c r="S13" s="163">
        <f t="shared" si="0"/>
        <v>0</v>
      </c>
      <c r="T13" s="163">
        <f t="shared" si="0"/>
        <v>0</v>
      </c>
      <c r="U13" s="163">
        <f t="shared" si="0"/>
        <v>0</v>
      </c>
      <c r="V13" s="163">
        <f t="shared" si="0"/>
        <v>0</v>
      </c>
      <c r="W13" s="163">
        <f t="shared" si="0"/>
        <v>0</v>
      </c>
      <c r="X13" s="163">
        <f t="shared" si="0"/>
        <v>0</v>
      </c>
      <c r="Y13" s="163">
        <f t="shared" si="0"/>
        <v>0</v>
      </c>
      <c r="Z13" s="163">
        <f t="shared" si="0"/>
        <v>0</v>
      </c>
      <c r="AA13" s="163">
        <f t="shared" si="0"/>
        <v>0</v>
      </c>
      <c r="AB13" s="163">
        <f t="shared" si="0"/>
        <v>0</v>
      </c>
      <c r="AC13" s="163">
        <f t="shared" si="0"/>
        <v>0</v>
      </c>
      <c r="AD13" s="163">
        <f t="shared" si="0"/>
        <v>0</v>
      </c>
      <c r="AE13" s="163">
        <f t="shared" si="0"/>
        <v>0</v>
      </c>
      <c r="AF13" s="163">
        <f t="shared" si="0"/>
        <v>0</v>
      </c>
      <c r="AG13" s="87">
        <f>SUM(C13:AF13)</f>
        <v>458.98544041811846</v>
      </c>
    </row>
    <row r="14" spans="2:34" ht="17.5" customHeight="1">
      <c r="B14" s="78" t="s">
        <v>184</v>
      </c>
      <c r="C14" s="163">
        <f t="shared" ref="C14:AF14" si="1">C2*$AH$11/($AH$10+$AH$11)</f>
        <v>41.414425087108015</v>
      </c>
      <c r="D14" s="163">
        <f t="shared" si="1"/>
        <v>45.972752613240417</v>
      </c>
      <c r="E14" s="163">
        <f t="shared" si="1"/>
        <v>44.62494773519164</v>
      </c>
      <c r="F14" s="163">
        <f t="shared" si="1"/>
        <v>43.814634146341461</v>
      </c>
      <c r="G14" s="163">
        <f t="shared" si="1"/>
        <v>0</v>
      </c>
      <c r="H14" s="163">
        <f>H2*$H$11/($H$10+$H$11)</f>
        <v>31.765799999999999</v>
      </c>
      <c r="I14" s="163">
        <f t="shared" si="1"/>
        <v>0</v>
      </c>
      <c r="J14" s="163">
        <f t="shared" si="1"/>
        <v>0</v>
      </c>
      <c r="K14" s="163">
        <f t="shared" si="1"/>
        <v>0</v>
      </c>
      <c r="L14" s="163">
        <f t="shared" si="1"/>
        <v>0</v>
      </c>
      <c r="M14" s="163">
        <f t="shared" si="1"/>
        <v>0</v>
      </c>
      <c r="N14" s="163">
        <f t="shared" si="1"/>
        <v>0</v>
      </c>
      <c r="O14" s="163">
        <f t="shared" si="1"/>
        <v>0</v>
      </c>
      <c r="P14" s="163">
        <f t="shared" si="1"/>
        <v>0</v>
      </c>
      <c r="Q14" s="163">
        <f t="shared" si="1"/>
        <v>0</v>
      </c>
      <c r="R14" s="163">
        <f t="shared" si="1"/>
        <v>0</v>
      </c>
      <c r="S14" s="163">
        <f t="shared" si="1"/>
        <v>0</v>
      </c>
      <c r="T14" s="163">
        <f t="shared" si="1"/>
        <v>0</v>
      </c>
      <c r="U14" s="163">
        <f t="shared" si="1"/>
        <v>0</v>
      </c>
      <c r="V14" s="163">
        <f t="shared" si="1"/>
        <v>0</v>
      </c>
      <c r="W14" s="163">
        <f t="shared" si="1"/>
        <v>0</v>
      </c>
      <c r="X14" s="163">
        <f t="shared" si="1"/>
        <v>0</v>
      </c>
      <c r="Y14" s="163">
        <f t="shared" si="1"/>
        <v>0</v>
      </c>
      <c r="Z14" s="163">
        <f t="shared" si="1"/>
        <v>0</v>
      </c>
      <c r="AA14" s="163">
        <f t="shared" si="1"/>
        <v>0</v>
      </c>
      <c r="AB14" s="163">
        <f t="shared" si="1"/>
        <v>0</v>
      </c>
      <c r="AC14" s="163">
        <f t="shared" si="1"/>
        <v>0</v>
      </c>
      <c r="AD14" s="163">
        <f t="shared" si="1"/>
        <v>0</v>
      </c>
      <c r="AE14" s="163">
        <f t="shared" si="1"/>
        <v>0</v>
      </c>
      <c r="AF14" s="163">
        <f t="shared" si="1"/>
        <v>0</v>
      </c>
      <c r="AG14" s="87">
        <f>SUM(C14:AF14)</f>
        <v>207.59255958188152</v>
      </c>
    </row>
    <row r="15" spans="2:34" ht="17.5" customHeight="1">
      <c r="B15" s="78" t="s">
        <v>157</v>
      </c>
      <c r="C15" s="163">
        <f>C13+C14</f>
        <v>132.066</v>
      </c>
      <c r="D15" s="163">
        <f t="shared" ref="D15:AE15" si="2">D13+D14</f>
        <v>146.602</v>
      </c>
      <c r="E15" s="163">
        <f t="shared" si="2"/>
        <v>142.304</v>
      </c>
      <c r="F15" s="163">
        <f t="shared" si="2"/>
        <v>139.72</v>
      </c>
      <c r="G15" s="163">
        <f t="shared" si="2"/>
        <v>0</v>
      </c>
      <c r="H15" s="163">
        <f t="shared" si="2"/>
        <v>105.886</v>
      </c>
      <c r="I15" s="163">
        <f t="shared" si="2"/>
        <v>0</v>
      </c>
      <c r="J15" s="163">
        <f t="shared" si="2"/>
        <v>0</v>
      </c>
      <c r="K15" s="163">
        <f t="shared" si="2"/>
        <v>0</v>
      </c>
      <c r="L15" s="163">
        <f t="shared" si="2"/>
        <v>0</v>
      </c>
      <c r="M15" s="163">
        <f t="shared" si="2"/>
        <v>0</v>
      </c>
      <c r="N15" s="163">
        <f t="shared" si="2"/>
        <v>0</v>
      </c>
      <c r="O15" s="163">
        <f t="shared" si="2"/>
        <v>0</v>
      </c>
      <c r="P15" s="163">
        <f t="shared" si="2"/>
        <v>0</v>
      </c>
      <c r="Q15" s="163">
        <f t="shared" si="2"/>
        <v>0</v>
      </c>
      <c r="R15" s="163">
        <f t="shared" si="2"/>
        <v>0</v>
      </c>
      <c r="S15" s="163">
        <f t="shared" si="2"/>
        <v>0</v>
      </c>
      <c r="T15" s="163">
        <f t="shared" si="2"/>
        <v>0</v>
      </c>
      <c r="U15" s="163">
        <f t="shared" ref="U15:AC15" si="3">U13+U14</f>
        <v>0</v>
      </c>
      <c r="V15" s="163">
        <f t="shared" si="3"/>
        <v>0</v>
      </c>
      <c r="W15" s="163">
        <f t="shared" si="3"/>
        <v>0</v>
      </c>
      <c r="X15" s="163">
        <f t="shared" si="3"/>
        <v>0</v>
      </c>
      <c r="Y15" s="163">
        <f t="shared" si="3"/>
        <v>0</v>
      </c>
      <c r="Z15" s="163">
        <f t="shared" si="3"/>
        <v>0</v>
      </c>
      <c r="AA15" s="163">
        <f t="shared" si="3"/>
        <v>0</v>
      </c>
      <c r="AB15" s="163">
        <f t="shared" si="3"/>
        <v>0</v>
      </c>
      <c r="AC15" s="163">
        <f t="shared" si="3"/>
        <v>0</v>
      </c>
      <c r="AD15" s="163">
        <f t="shared" si="2"/>
        <v>0</v>
      </c>
      <c r="AE15" s="163">
        <f t="shared" si="2"/>
        <v>0</v>
      </c>
      <c r="AF15" s="163">
        <f t="shared" ref="AF15" si="4">AF13+AF14</f>
        <v>0</v>
      </c>
      <c r="AG15" s="87">
        <f>SUM(C15:AF15)</f>
        <v>666.57799999999997</v>
      </c>
    </row>
    <row r="16" spans="2:34" ht="17.5" customHeight="1">
      <c r="B16" s="78" t="s">
        <v>185</v>
      </c>
      <c r="C16" s="163" t="b">
        <f>C2=C15</f>
        <v>1</v>
      </c>
      <c r="D16" s="163" t="b">
        <f t="shared" ref="D16:AE16" si="5">D2=D15</f>
        <v>1</v>
      </c>
      <c r="E16" s="163" t="b">
        <f t="shared" si="5"/>
        <v>1</v>
      </c>
      <c r="F16" s="163" t="b">
        <f t="shared" si="5"/>
        <v>1</v>
      </c>
      <c r="G16" s="163" t="b">
        <f t="shared" si="5"/>
        <v>1</v>
      </c>
      <c r="H16" s="163" t="b">
        <f t="shared" si="5"/>
        <v>1</v>
      </c>
      <c r="I16" s="163" t="b">
        <f t="shared" si="5"/>
        <v>1</v>
      </c>
      <c r="J16" s="163" t="b">
        <f t="shared" si="5"/>
        <v>1</v>
      </c>
      <c r="K16" s="163" t="b">
        <f t="shared" si="5"/>
        <v>1</v>
      </c>
      <c r="L16" s="163" t="b">
        <f t="shared" si="5"/>
        <v>1</v>
      </c>
      <c r="M16" s="163" t="b">
        <f t="shared" si="5"/>
        <v>1</v>
      </c>
      <c r="N16" s="163" t="b">
        <f t="shared" si="5"/>
        <v>1</v>
      </c>
      <c r="O16" s="163" t="b">
        <f t="shared" si="5"/>
        <v>1</v>
      </c>
      <c r="P16" s="163" t="b">
        <f t="shared" si="5"/>
        <v>1</v>
      </c>
      <c r="Q16" s="163" t="b">
        <f t="shared" si="5"/>
        <v>1</v>
      </c>
      <c r="R16" s="163" t="b">
        <f t="shared" si="5"/>
        <v>1</v>
      </c>
      <c r="S16" s="163" t="b">
        <f t="shared" si="5"/>
        <v>1</v>
      </c>
      <c r="T16" s="163" t="b">
        <f t="shared" si="5"/>
        <v>1</v>
      </c>
      <c r="U16" s="163" t="b">
        <f t="shared" si="5"/>
        <v>1</v>
      </c>
      <c r="V16" s="163" t="b">
        <f t="shared" si="5"/>
        <v>1</v>
      </c>
      <c r="W16" s="163" t="b">
        <f t="shared" si="5"/>
        <v>1</v>
      </c>
      <c r="X16" s="163" t="b">
        <f t="shared" si="5"/>
        <v>1</v>
      </c>
      <c r="Y16" s="163" t="b">
        <f t="shared" si="5"/>
        <v>1</v>
      </c>
      <c r="Z16" s="163" t="b">
        <f t="shared" si="5"/>
        <v>1</v>
      </c>
      <c r="AA16" s="163" t="b">
        <f t="shared" si="5"/>
        <v>1</v>
      </c>
      <c r="AB16" s="163" t="b">
        <f t="shared" si="5"/>
        <v>1</v>
      </c>
      <c r="AC16" s="163" t="b">
        <f t="shared" si="5"/>
        <v>1</v>
      </c>
      <c r="AD16" s="163" t="b">
        <f t="shared" si="5"/>
        <v>1</v>
      </c>
      <c r="AE16" s="163" t="b">
        <f t="shared" si="5"/>
        <v>1</v>
      </c>
      <c r="AF16" s="163" t="b">
        <f t="shared" ref="AF16" si="6">AF2=AF15</f>
        <v>1</v>
      </c>
      <c r="AG16" s="78"/>
    </row>
    <row r="18" spans="3:41" ht="18"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</row>
    <row r="19" spans="3:41" ht="16.5" customHeight="1">
      <c r="F19" s="163" t="s">
        <v>94</v>
      </c>
      <c r="G19" s="164">
        <f>H13</f>
        <v>74.120199999999997</v>
      </c>
      <c r="H19" s="165"/>
      <c r="Q19" s="166"/>
      <c r="R19" s="166"/>
      <c r="S19" s="166"/>
      <c r="T19" s="166"/>
      <c r="U19" s="166"/>
      <c r="V19" s="166"/>
      <c r="W19" s="166"/>
      <c r="X19" s="166"/>
      <c r="Y19" s="166"/>
      <c r="Z19" s="166"/>
      <c r="AA19" s="166"/>
      <c r="AB19" s="166"/>
      <c r="AC19" s="166"/>
      <c r="AD19" s="166"/>
      <c r="AE19" s="166"/>
      <c r="AF19" s="166"/>
      <c r="AG19" s="127"/>
      <c r="AH19" s="127"/>
      <c r="AI19" s="127"/>
      <c r="AJ19" s="127"/>
      <c r="AK19" s="128"/>
    </row>
    <row r="20" spans="3:41" ht="15.75" customHeight="1">
      <c r="F20" s="163" t="s">
        <v>184</v>
      </c>
      <c r="G20" s="164">
        <f>H14</f>
        <v>31.765799999999999</v>
      </c>
      <c r="AG20" s="67"/>
      <c r="AH20" s="67"/>
      <c r="AI20" s="67"/>
      <c r="AJ20" s="67"/>
      <c r="AK20" s="67"/>
      <c r="AL20" s="67"/>
      <c r="AM20" s="67"/>
      <c r="AN20" s="67"/>
      <c r="AO20" s="67"/>
    </row>
  </sheetData>
  <mergeCells count="2">
    <mergeCell ref="B5:C5"/>
    <mergeCell ref="B9:C9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1:O20"/>
  <sheetViews>
    <sheetView topLeftCell="B1" zoomScale="89" zoomScaleNormal="89" workbookViewId="0">
      <selection activeCell="I4" sqref="I4:I10"/>
    </sheetView>
  </sheetViews>
  <sheetFormatPr defaultColWidth="9.1796875" defaultRowHeight="12.5"/>
  <cols>
    <col min="1" max="1" width="3.26953125" style="44" customWidth="1"/>
    <col min="2" max="2" width="18.7265625" style="44" customWidth="1"/>
    <col min="3" max="3" width="18.453125" style="44" customWidth="1"/>
    <col min="4" max="4" width="20.26953125" style="44" customWidth="1"/>
    <col min="5" max="5" width="17.7265625" style="44" customWidth="1"/>
    <col min="6" max="6" width="13.54296875" style="44" customWidth="1"/>
    <col min="7" max="7" width="14.453125" style="44" customWidth="1"/>
    <col min="8" max="8" width="10.7265625" style="44" customWidth="1"/>
    <col min="9" max="9" width="11.453125" style="44" customWidth="1"/>
    <col min="10" max="10" width="11.1796875" style="44" customWidth="1"/>
    <col min="11" max="11" width="9.54296875" style="44" bestFit="1" customWidth="1"/>
    <col min="12" max="12" width="10.7265625" style="44" bestFit="1" customWidth="1"/>
    <col min="13" max="13" width="11.7265625" style="44" bestFit="1" customWidth="1"/>
    <col min="14" max="14" width="9.54296875" style="44" bestFit="1" customWidth="1"/>
    <col min="15" max="15" width="11.54296875" style="44" customWidth="1"/>
    <col min="16" max="16" width="22.54296875" style="44" customWidth="1"/>
    <col min="17" max="16384" width="9.1796875" style="44"/>
  </cols>
  <sheetData>
    <row r="1" spans="2:15">
      <c r="B1" s="41"/>
      <c r="C1" s="42"/>
    </row>
    <row r="2" spans="2:15" ht="13.5" thickBot="1">
      <c r="B2" s="407" t="s">
        <v>186</v>
      </c>
      <c r="C2" s="407"/>
      <c r="D2" s="407"/>
      <c r="E2" s="407"/>
      <c r="F2" s="407"/>
      <c r="G2" s="407"/>
      <c r="H2" s="45"/>
      <c r="I2" s="45"/>
      <c r="J2" s="45"/>
      <c r="K2" s="45"/>
      <c r="L2" s="45"/>
      <c r="M2" s="45"/>
      <c r="N2" s="45"/>
      <c r="O2" s="45"/>
    </row>
    <row r="3" spans="2:15" s="51" customFormat="1" ht="45.75" customHeight="1" thickTop="1">
      <c r="B3" s="99"/>
      <c r="C3" s="47" t="s">
        <v>187</v>
      </c>
      <c r="D3" s="48" t="s">
        <v>188</v>
      </c>
      <c r="E3" s="48" t="s">
        <v>189</v>
      </c>
      <c r="F3" s="48" t="s">
        <v>190</v>
      </c>
      <c r="G3" s="100" t="s">
        <v>71</v>
      </c>
      <c r="L3" s="377"/>
      <c r="M3" s="378"/>
    </row>
    <row r="4" spans="2:15">
      <c r="B4" s="52" t="s">
        <v>91</v>
      </c>
      <c r="C4" s="78"/>
      <c r="D4" s="129">
        <v>25</v>
      </c>
      <c r="E4" s="129">
        <v>70</v>
      </c>
      <c r="F4" s="80">
        <v>40</v>
      </c>
      <c r="G4" s="102"/>
    </row>
    <row r="5" spans="2:15">
      <c r="B5" s="52" t="s">
        <v>92</v>
      </c>
      <c r="C5" s="78"/>
      <c r="D5" s="54">
        <v>10</v>
      </c>
      <c r="E5" s="129">
        <v>70</v>
      </c>
      <c r="F5" s="54">
        <v>40</v>
      </c>
      <c r="G5" s="102"/>
    </row>
    <row r="6" spans="2:15">
      <c r="B6" s="52" t="s">
        <v>93</v>
      </c>
      <c r="C6" s="59">
        <f>E18</f>
        <v>57.480000000000004</v>
      </c>
      <c r="D6" s="88">
        <v>0</v>
      </c>
      <c r="E6" s="129">
        <v>44.622000000000014</v>
      </c>
      <c r="F6" s="88">
        <v>12.85799999999999</v>
      </c>
      <c r="G6" s="102">
        <f>C6-E6-F6-D6</f>
        <v>0</v>
      </c>
      <c r="H6" s="58"/>
      <c r="I6" s="58"/>
    </row>
    <row r="7" spans="2:15">
      <c r="B7" s="101"/>
      <c r="C7" s="78"/>
      <c r="D7" s="78"/>
      <c r="E7" s="78"/>
      <c r="F7" s="78"/>
      <c r="G7" s="103"/>
      <c r="I7" s="58"/>
    </row>
    <row r="8" spans="2:15" ht="13.5" thickBot="1">
      <c r="B8" s="104" t="s">
        <v>76</v>
      </c>
      <c r="C8" s="105">
        <f>C6</f>
        <v>57.480000000000004</v>
      </c>
      <c r="D8" s="63">
        <f>D6</f>
        <v>0</v>
      </c>
      <c r="E8" s="63">
        <f>E6</f>
        <v>44.622000000000014</v>
      </c>
      <c r="F8" s="63">
        <f>F6</f>
        <v>12.85799999999999</v>
      </c>
      <c r="G8" s="106">
        <f>G6</f>
        <v>0</v>
      </c>
      <c r="H8" s="58"/>
      <c r="I8" s="58"/>
    </row>
    <row r="9" spans="2:15" ht="13">
      <c r="B9" s="107"/>
      <c r="C9" s="45"/>
      <c r="D9" s="109"/>
      <c r="E9" s="109"/>
      <c r="F9" s="109"/>
      <c r="G9" s="110"/>
      <c r="J9" s="58"/>
    </row>
    <row r="10" spans="2:15" ht="13">
      <c r="B10" s="408" t="s">
        <v>77</v>
      </c>
      <c r="C10" s="387"/>
      <c r="D10" s="112">
        <f>D6+F6+E6</f>
        <v>57.480000000000004</v>
      </c>
      <c r="E10" s="112"/>
      <c r="F10" s="112"/>
      <c r="G10" s="110"/>
    </row>
    <row r="11" spans="2:15" ht="13.5" thickBot="1">
      <c r="B11" s="113"/>
      <c r="C11" s="70"/>
      <c r="D11" s="112"/>
      <c r="E11" s="112"/>
      <c r="F11" s="112"/>
      <c r="G11" s="110"/>
    </row>
    <row r="12" spans="2:15" ht="13">
      <c r="B12" s="113"/>
      <c r="C12" s="70"/>
      <c r="D12" s="120" t="s">
        <v>191</v>
      </c>
      <c r="E12" s="169" t="s">
        <v>192</v>
      </c>
      <c r="F12" s="121"/>
      <c r="G12" s="110"/>
    </row>
    <row r="13" spans="2:15" ht="13">
      <c r="B13" s="113"/>
      <c r="C13" s="70"/>
      <c r="D13" s="52" t="s">
        <v>29</v>
      </c>
      <c r="E13" s="142">
        <f>West_Summary!C25</f>
        <v>0</v>
      </c>
      <c r="F13" s="58"/>
      <c r="G13" s="110"/>
    </row>
    <row r="14" spans="2:15" ht="13">
      <c r="B14" s="113"/>
      <c r="C14" s="70"/>
      <c r="D14" s="52" t="s">
        <v>30</v>
      </c>
      <c r="E14" s="142">
        <f>West_Summary!C26</f>
        <v>31.57</v>
      </c>
      <c r="F14" s="58"/>
      <c r="G14" s="110"/>
    </row>
    <row r="15" spans="2:15" ht="13">
      <c r="B15" s="113"/>
      <c r="C15" s="70"/>
      <c r="D15" s="52" t="s">
        <v>32</v>
      </c>
      <c r="E15" s="142">
        <f>West_Summary!C27</f>
        <v>0</v>
      </c>
      <c r="F15" s="58"/>
      <c r="G15" s="110"/>
    </row>
    <row r="16" spans="2:15" ht="13">
      <c r="B16" s="113"/>
      <c r="C16" s="70"/>
      <c r="D16" s="52" t="s">
        <v>33</v>
      </c>
      <c r="E16" s="142">
        <f>West_Summary!C28</f>
        <v>0</v>
      </c>
      <c r="F16" s="58"/>
      <c r="G16" s="110"/>
    </row>
    <row r="17" spans="2:7" ht="13">
      <c r="B17" s="113"/>
      <c r="C17" s="70"/>
      <c r="D17" s="52" t="s">
        <v>34</v>
      </c>
      <c r="E17" s="142">
        <f>West_Summary!C29</f>
        <v>25.91</v>
      </c>
      <c r="F17" s="58"/>
      <c r="G17" s="110"/>
    </row>
    <row r="18" spans="2:7" ht="13.5" thickBot="1">
      <c r="B18" s="113"/>
      <c r="C18" s="70"/>
      <c r="D18" s="122" t="s">
        <v>157</v>
      </c>
      <c r="E18" s="123">
        <f>SUM(E13:E17)</f>
        <v>57.480000000000004</v>
      </c>
      <c r="F18" s="143"/>
      <c r="G18" s="110"/>
    </row>
    <row r="19" spans="2:7" ht="17.25" customHeight="1" thickBot="1">
      <c r="B19" s="114"/>
      <c r="C19" s="115"/>
      <c r="D19" s="115"/>
      <c r="E19" s="115"/>
      <c r="F19" s="115"/>
      <c r="G19" s="116"/>
    </row>
    <row r="20" spans="2:7" ht="13" thickTop="1"/>
  </sheetData>
  <mergeCells count="3">
    <mergeCell ref="B2:G2"/>
    <mergeCell ref="L3:M3"/>
    <mergeCell ref="B10:C10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8"/>
  <sheetViews>
    <sheetView zoomScale="86" zoomScaleNormal="86" workbookViewId="0">
      <selection activeCell="E7" sqref="E7"/>
    </sheetView>
  </sheetViews>
  <sheetFormatPr defaultColWidth="9.1796875" defaultRowHeight="12.5"/>
  <cols>
    <col min="1" max="1" width="3.81640625" style="44" customWidth="1"/>
    <col min="2" max="2" width="19.7265625" style="44" bestFit="1" customWidth="1"/>
    <col min="3" max="3" width="16.453125" style="44" bestFit="1" customWidth="1"/>
    <col min="4" max="4" width="12.26953125" style="44" bestFit="1" customWidth="1"/>
    <col min="5" max="5" width="15.81640625" style="44" bestFit="1" customWidth="1"/>
    <col min="6" max="6" width="13.54296875" style="44" customWidth="1"/>
    <col min="7" max="7" width="9.54296875" style="44" bestFit="1" customWidth="1"/>
    <col min="8" max="8" width="11.7265625" style="44" customWidth="1"/>
    <col min="9" max="10" width="11" style="44" customWidth="1"/>
    <col min="11" max="11" width="10.7265625" style="44" bestFit="1" customWidth="1"/>
    <col min="12" max="12" width="11.7265625" style="44" bestFit="1" customWidth="1"/>
    <col min="13" max="13" width="11.1796875" style="44" customWidth="1"/>
    <col min="14" max="14" width="12.81640625" style="44" customWidth="1"/>
    <col min="15" max="15" width="9.81640625" style="44" customWidth="1"/>
    <col min="16" max="16" width="10.7265625" style="44" customWidth="1"/>
    <col min="17" max="17" width="11.453125" style="44" customWidth="1"/>
    <col min="18" max="18" width="11.1796875" style="44" customWidth="1"/>
    <col min="19" max="19" width="9.54296875" style="44" bestFit="1" customWidth="1"/>
    <col min="20" max="20" width="10.7265625" style="44" bestFit="1" customWidth="1"/>
    <col min="21" max="21" width="11.7265625" style="44" bestFit="1" customWidth="1"/>
    <col min="22" max="22" width="9.54296875" style="44" bestFit="1" customWidth="1"/>
    <col min="23" max="23" width="11.54296875" style="44" customWidth="1"/>
    <col min="24" max="24" width="22.54296875" style="44" customWidth="1"/>
    <col min="25" max="16384" width="9.1796875" style="44"/>
  </cols>
  <sheetData>
    <row r="1" spans="2:23" ht="13" thickBot="1">
      <c r="B1" s="41"/>
      <c r="C1" s="42"/>
      <c r="D1" s="43"/>
    </row>
    <row r="2" spans="2:23" ht="13.5" thickBot="1">
      <c r="B2" s="388" t="s">
        <v>193</v>
      </c>
      <c r="C2" s="389"/>
      <c r="D2" s="389"/>
      <c r="E2" s="389"/>
      <c r="F2" s="389"/>
      <c r="G2" s="390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2:23" s="51" customFormat="1" ht="45.75" customHeight="1" thickTop="1">
      <c r="B3" s="46"/>
      <c r="C3" s="47" t="s">
        <v>194</v>
      </c>
      <c r="D3" s="48" t="s">
        <v>140</v>
      </c>
      <c r="E3" s="48" t="s">
        <v>115</v>
      </c>
      <c r="F3" s="48" t="s">
        <v>195</v>
      </c>
      <c r="G3" s="50" t="s">
        <v>71</v>
      </c>
      <c r="T3" s="377"/>
      <c r="U3" s="378"/>
    </row>
    <row r="4" spans="2:23">
      <c r="B4" s="52" t="s">
        <v>91</v>
      </c>
      <c r="C4" s="78"/>
      <c r="D4" s="88">
        <v>20</v>
      </c>
      <c r="E4" s="80">
        <v>0</v>
      </c>
      <c r="F4" s="58"/>
      <c r="G4" s="179"/>
    </row>
    <row r="5" spans="2:23">
      <c r="B5" s="52" t="s">
        <v>92</v>
      </c>
      <c r="C5" s="78"/>
      <c r="D5" s="88">
        <v>20</v>
      </c>
      <c r="E5" s="80">
        <v>0</v>
      </c>
      <c r="F5" s="90"/>
      <c r="G5" s="179"/>
    </row>
    <row r="6" spans="2:23">
      <c r="B6" s="52" t="s">
        <v>93</v>
      </c>
      <c r="C6" s="59">
        <f>E17</f>
        <v>20</v>
      </c>
      <c r="D6" s="117">
        <v>20</v>
      </c>
      <c r="E6" s="80">
        <v>0</v>
      </c>
      <c r="F6" s="119"/>
      <c r="G6" s="179">
        <f>C6-D6-E6</f>
        <v>0</v>
      </c>
      <c r="I6" s="58"/>
    </row>
    <row r="7" spans="2:23">
      <c r="B7" s="52"/>
      <c r="C7" s="78"/>
      <c r="D7" s="78"/>
      <c r="E7" s="78"/>
      <c r="F7" s="92"/>
      <c r="G7" s="89"/>
    </row>
    <row r="8" spans="2:23" ht="13.5" thickBot="1">
      <c r="B8" s="62" t="s">
        <v>76</v>
      </c>
      <c r="C8" s="105">
        <f>C6</f>
        <v>20</v>
      </c>
      <c r="D8" s="63">
        <f>D6</f>
        <v>20</v>
      </c>
      <c r="E8" s="63">
        <f>E6</f>
        <v>0</v>
      </c>
      <c r="F8" s="93"/>
      <c r="G8" s="65">
        <f>G6</f>
        <v>0</v>
      </c>
    </row>
    <row r="9" spans="2:23" ht="13">
      <c r="B9" s="199"/>
      <c r="C9" s="190"/>
      <c r="D9" s="191"/>
      <c r="E9" s="192"/>
      <c r="F9" s="192"/>
      <c r="G9" s="200"/>
      <c r="I9" s="58"/>
    </row>
    <row r="10" spans="2:23" ht="13">
      <c r="B10" s="391" t="s">
        <v>77</v>
      </c>
      <c r="C10" s="380"/>
      <c r="D10" s="195"/>
      <c r="E10" s="138">
        <f>D6+E6+F6</f>
        <v>20</v>
      </c>
      <c r="F10" s="138"/>
      <c r="G10" s="200"/>
    </row>
    <row r="11" spans="2:23" ht="13">
      <c r="B11" s="182"/>
      <c r="C11" s="170"/>
      <c r="D11" s="195"/>
      <c r="E11" s="138"/>
      <c r="F11" s="138"/>
      <c r="G11" s="200"/>
    </row>
    <row r="12" spans="2:23" ht="13.5" thickBot="1">
      <c r="B12" s="182"/>
      <c r="C12" s="170"/>
      <c r="D12" s="409" t="s">
        <v>196</v>
      </c>
      <c r="E12" s="409"/>
      <c r="F12" s="138"/>
      <c r="G12" s="200"/>
    </row>
    <row r="13" spans="2:23" ht="13">
      <c r="B13" s="182"/>
      <c r="C13" s="170"/>
      <c r="D13" s="205" t="s">
        <v>197</v>
      </c>
      <c r="E13" s="206" t="s">
        <v>198</v>
      </c>
      <c r="F13" s="138"/>
      <c r="G13" s="200"/>
    </row>
    <row r="14" spans="2:23" ht="13">
      <c r="B14" s="182"/>
      <c r="C14" s="170"/>
      <c r="D14" s="207" t="s">
        <v>6</v>
      </c>
      <c r="E14" s="142">
        <f>'CNL Allocation '!H8</f>
        <v>0</v>
      </c>
      <c r="F14" s="138"/>
      <c r="G14" s="200"/>
    </row>
    <row r="15" spans="2:23" ht="13">
      <c r="B15" s="182"/>
      <c r="C15" s="170"/>
      <c r="D15" s="207" t="s">
        <v>106</v>
      </c>
      <c r="E15" s="142">
        <f>'NEPL-Oredo'!F6</f>
        <v>0</v>
      </c>
      <c r="F15" s="138"/>
      <c r="G15" s="200"/>
    </row>
    <row r="16" spans="2:23" ht="13">
      <c r="B16" s="182"/>
      <c r="C16" s="170"/>
      <c r="D16" s="207" t="s">
        <v>10</v>
      </c>
      <c r="E16" s="142">
        <f>'Panocean Allocation'!E6</f>
        <v>20</v>
      </c>
      <c r="F16" s="138"/>
      <c r="G16" s="200"/>
    </row>
    <row r="17" spans="2:11" ht="13.5" thickBot="1">
      <c r="B17" s="182"/>
      <c r="C17" s="170"/>
      <c r="D17" s="131" t="s">
        <v>157</v>
      </c>
      <c r="E17" s="123">
        <f>SUM(E14:E16)</f>
        <v>20</v>
      </c>
      <c r="F17" s="138"/>
      <c r="G17" s="200"/>
    </row>
    <row r="18" spans="2:11" ht="17.25" customHeight="1" thickBot="1">
      <c r="B18" s="202"/>
      <c r="C18" s="203"/>
      <c r="D18" s="203"/>
      <c r="E18" s="203"/>
      <c r="F18" s="203"/>
      <c r="G18" s="204"/>
      <c r="H18" s="118"/>
      <c r="I18" s="118"/>
      <c r="J18" s="118"/>
      <c r="K18" s="118"/>
    </row>
  </sheetData>
  <mergeCells count="4">
    <mergeCell ref="B2:G2"/>
    <mergeCell ref="T3:U3"/>
    <mergeCell ref="B10:C10"/>
    <mergeCell ref="D12:E12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B1:X17"/>
  <sheetViews>
    <sheetView topLeftCell="B1" zoomScale="86" zoomScaleNormal="86" workbookViewId="0">
      <selection activeCell="F21" sqref="F21"/>
    </sheetView>
  </sheetViews>
  <sheetFormatPr defaultColWidth="9.1796875" defaultRowHeight="12.5"/>
  <cols>
    <col min="1" max="1" width="3.81640625" style="44" customWidth="1"/>
    <col min="2" max="2" width="19.7265625" style="44" bestFit="1" customWidth="1"/>
    <col min="3" max="3" width="16.453125" style="44" bestFit="1" customWidth="1"/>
    <col min="4" max="4" width="12.26953125" style="44" bestFit="1" customWidth="1"/>
    <col min="5" max="5" width="15.81640625" style="44" bestFit="1" customWidth="1"/>
    <col min="6" max="6" width="12.7265625" style="44" customWidth="1"/>
    <col min="7" max="7" width="13.7265625" style="44" customWidth="1"/>
    <col min="8" max="8" width="9.54296875" style="44" bestFit="1" customWidth="1"/>
    <col min="9" max="9" width="11.7265625" style="44" customWidth="1"/>
    <col min="10" max="11" width="11" style="44" customWidth="1"/>
    <col min="12" max="12" width="10.7265625" style="44" bestFit="1" customWidth="1"/>
    <col min="13" max="13" width="11.7265625" style="44" bestFit="1" customWidth="1"/>
    <col min="14" max="14" width="11.1796875" style="44" customWidth="1"/>
    <col min="15" max="15" width="12.81640625" style="44" customWidth="1"/>
    <col min="16" max="16" width="9.81640625" style="44" customWidth="1"/>
    <col min="17" max="17" width="10.7265625" style="44" customWidth="1"/>
    <col min="18" max="18" width="11.453125" style="44" customWidth="1"/>
    <col min="19" max="19" width="11.1796875" style="44" customWidth="1"/>
    <col min="20" max="20" width="9.54296875" style="44" bestFit="1" customWidth="1"/>
    <col min="21" max="21" width="10.7265625" style="44" bestFit="1" customWidth="1"/>
    <col min="22" max="22" width="11.7265625" style="44" bestFit="1" customWidth="1"/>
    <col min="23" max="23" width="9.54296875" style="44" bestFit="1" customWidth="1"/>
    <col min="24" max="24" width="11.54296875" style="44" customWidth="1"/>
    <col min="25" max="25" width="22.54296875" style="44" customWidth="1"/>
    <col min="26" max="16384" width="9.1796875" style="44"/>
  </cols>
  <sheetData>
    <row r="1" spans="2:24" ht="13" thickBot="1">
      <c r="B1" s="41"/>
      <c r="C1" s="42"/>
      <c r="D1" s="43"/>
    </row>
    <row r="2" spans="2:24" ht="13.5" thickBot="1">
      <c r="B2" s="374" t="s">
        <v>56</v>
      </c>
      <c r="C2" s="375"/>
      <c r="D2" s="375"/>
      <c r="E2" s="375"/>
      <c r="F2" s="375"/>
      <c r="G2" s="375"/>
      <c r="H2" s="376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</row>
    <row r="3" spans="2:24" s="51" customFormat="1" ht="45.75" customHeight="1">
      <c r="B3" s="177"/>
      <c r="C3" s="174" t="s">
        <v>199</v>
      </c>
      <c r="D3" s="175" t="s">
        <v>108</v>
      </c>
      <c r="E3" s="175" t="s">
        <v>200</v>
      </c>
      <c r="F3" s="175" t="s">
        <v>179</v>
      </c>
      <c r="G3" s="175" t="s">
        <v>201</v>
      </c>
      <c r="H3" s="178" t="s">
        <v>71</v>
      </c>
      <c r="U3" s="377"/>
      <c r="V3" s="378"/>
    </row>
    <row r="4" spans="2:24">
      <c r="B4" s="52" t="s">
        <v>72</v>
      </c>
      <c r="C4" s="78"/>
      <c r="D4" s="80">
        <v>0</v>
      </c>
      <c r="E4" s="80">
        <f>SNG!C10</f>
        <v>0</v>
      </c>
      <c r="F4" s="58"/>
      <c r="G4" s="58"/>
      <c r="H4" s="179"/>
    </row>
    <row r="5" spans="2:24">
      <c r="B5" s="52" t="s">
        <v>73</v>
      </c>
      <c r="C5" s="78"/>
      <c r="D5" s="90"/>
      <c r="E5" s="90">
        <v>0</v>
      </c>
      <c r="F5" s="90"/>
      <c r="G5" s="305"/>
      <c r="H5" s="179"/>
    </row>
    <row r="6" spans="2:24">
      <c r="B6" s="52" t="s">
        <v>74</v>
      </c>
      <c r="C6" s="78"/>
      <c r="D6" s="88">
        <f>D4*D5</f>
        <v>0</v>
      </c>
      <c r="E6" s="88">
        <f>E4*E5</f>
        <v>0</v>
      </c>
      <c r="F6" s="88"/>
      <c r="G6" s="119"/>
      <c r="H6" s="179"/>
    </row>
    <row r="7" spans="2:24" ht="13">
      <c r="B7" s="52" t="s">
        <v>75</v>
      </c>
      <c r="C7" s="59">
        <f>D16</f>
        <v>0</v>
      </c>
      <c r="D7" s="117">
        <v>0</v>
      </c>
      <c r="E7" s="80">
        <f>SNG!C18/1000000</f>
        <v>0</v>
      </c>
      <c r="F7" s="119"/>
      <c r="G7" s="119"/>
      <c r="H7" s="187">
        <f>C7-D7-E7</f>
        <v>0</v>
      </c>
      <c r="J7" s="58"/>
    </row>
    <row r="8" spans="2:24">
      <c r="B8" s="52"/>
      <c r="C8" s="78"/>
      <c r="D8" s="78"/>
      <c r="E8" s="78"/>
      <c r="F8" s="92"/>
      <c r="G8" s="92"/>
      <c r="H8" s="89"/>
    </row>
    <row r="9" spans="2:24" ht="13.5" thickBot="1">
      <c r="B9" s="62" t="s">
        <v>76</v>
      </c>
      <c r="C9" s="105">
        <f>C7</f>
        <v>0</v>
      </c>
      <c r="D9" s="63">
        <f>D7</f>
        <v>0</v>
      </c>
      <c r="E9" s="63">
        <f>E7</f>
        <v>0</v>
      </c>
      <c r="F9" s="93"/>
      <c r="G9" s="93"/>
      <c r="H9" s="65">
        <f>H7</f>
        <v>0</v>
      </c>
    </row>
    <row r="10" spans="2:24" ht="13">
      <c r="B10" s="199"/>
      <c r="C10" s="190"/>
      <c r="D10" s="191"/>
      <c r="E10" s="192"/>
      <c r="F10" s="192"/>
      <c r="G10" s="192"/>
      <c r="H10" s="200"/>
      <c r="J10" s="58"/>
    </row>
    <row r="11" spans="2:24" ht="13">
      <c r="B11" s="391" t="s">
        <v>77</v>
      </c>
      <c r="C11" s="380"/>
      <c r="D11" s="195"/>
      <c r="E11" s="138">
        <f>D7+E7+F7</f>
        <v>0</v>
      </c>
      <c r="F11" s="138"/>
      <c r="G11" s="138"/>
      <c r="H11" s="200"/>
    </row>
    <row r="12" spans="2:24" ht="13.5" thickBot="1">
      <c r="B12" s="182"/>
      <c r="C12" s="170"/>
      <c r="D12" s="195"/>
      <c r="E12" s="138"/>
      <c r="F12" s="138"/>
      <c r="G12" s="138"/>
      <c r="H12" s="200"/>
    </row>
    <row r="13" spans="2:24" ht="26">
      <c r="B13" s="182"/>
      <c r="C13" s="205" t="s">
        <v>197</v>
      </c>
      <c r="D13" s="206" t="s">
        <v>198</v>
      </c>
      <c r="E13" s="130"/>
      <c r="F13" s="410"/>
      <c r="G13" s="410"/>
      <c r="H13" s="200"/>
    </row>
    <row r="14" spans="2:24" ht="13">
      <c r="B14" s="182"/>
      <c r="C14" s="207" t="s">
        <v>163</v>
      </c>
      <c r="D14" s="142">
        <f>'Seplat (Oben)  Allocation'!I6</f>
        <v>0</v>
      </c>
      <c r="E14" s="130"/>
      <c r="F14" s="344"/>
      <c r="G14" s="300"/>
      <c r="H14" s="200"/>
    </row>
    <row r="15" spans="2:24" ht="13">
      <c r="B15" s="182"/>
      <c r="C15" s="207" t="s">
        <v>6</v>
      </c>
      <c r="D15" s="142">
        <f>'CNL Allocation '!K6</f>
        <v>0</v>
      </c>
      <c r="E15" s="130"/>
      <c r="F15" s="345"/>
      <c r="G15" s="161"/>
      <c r="H15" s="200"/>
    </row>
    <row r="16" spans="2:24" ht="13.5" thickBot="1">
      <c r="B16" s="182"/>
      <c r="C16" s="131" t="s">
        <v>157</v>
      </c>
      <c r="D16" s="123">
        <f>SUM(D14:D15)</f>
        <v>0</v>
      </c>
      <c r="E16" s="130"/>
      <c r="F16" s="346"/>
      <c r="G16" s="161"/>
      <c r="H16" s="200"/>
    </row>
    <row r="17" spans="2:12" ht="17.25" customHeight="1" thickBot="1">
      <c r="B17" s="202"/>
      <c r="C17" s="203"/>
      <c r="D17" s="203"/>
      <c r="E17" s="203"/>
      <c r="F17" s="203"/>
      <c r="G17" s="203"/>
      <c r="H17" s="204"/>
      <c r="I17" s="118"/>
      <c r="J17" s="118"/>
      <c r="K17" s="118"/>
      <c r="L17" s="118"/>
    </row>
  </sheetData>
  <mergeCells count="4">
    <mergeCell ref="B2:H2"/>
    <mergeCell ref="U3:V3"/>
    <mergeCell ref="B11:C11"/>
    <mergeCell ref="F13:G13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"/>
  <sheetViews>
    <sheetView zoomScale="90" zoomScaleNormal="90" workbookViewId="0">
      <selection activeCell="G3" sqref="G3:G9"/>
    </sheetView>
  </sheetViews>
  <sheetFormatPr defaultColWidth="9.1796875" defaultRowHeight="12.5"/>
  <cols>
    <col min="1" max="1" width="3.81640625" style="44" customWidth="1"/>
    <col min="2" max="2" width="18.7265625" style="44" customWidth="1"/>
    <col min="3" max="3" width="18.54296875" style="152" customWidth="1"/>
    <col min="4" max="5" width="18.54296875" style="44" customWidth="1"/>
    <col min="6" max="6" width="18.453125" style="44" customWidth="1"/>
    <col min="7" max="7" width="16.453125" style="44" bestFit="1" customWidth="1"/>
    <col min="8" max="8" width="11" style="44" bestFit="1" customWidth="1"/>
    <col min="9" max="9" width="9.453125" style="44" customWidth="1"/>
    <col min="10" max="10" width="9.1796875" style="44" customWidth="1"/>
    <col min="11" max="11" width="9.7265625" style="44" bestFit="1" customWidth="1"/>
    <col min="12" max="12" width="11.54296875" style="44" customWidth="1"/>
    <col min="13" max="13" width="22.54296875" style="44" customWidth="1"/>
    <col min="14" max="16384" width="9.1796875" style="44"/>
  </cols>
  <sheetData>
    <row r="1" spans="2:12" ht="13" thickBot="1">
      <c r="B1" s="41"/>
      <c r="C1" s="149"/>
    </row>
    <row r="2" spans="2:12" ht="13.5" thickBot="1">
      <c r="B2" s="374" t="s">
        <v>25</v>
      </c>
      <c r="C2" s="375"/>
      <c r="D2" s="375"/>
      <c r="E2" s="375"/>
      <c r="F2" s="376"/>
      <c r="G2" s="306"/>
      <c r="H2" s="45"/>
      <c r="I2" s="45"/>
      <c r="J2" s="45"/>
      <c r="K2" s="45"/>
      <c r="L2" s="45"/>
    </row>
    <row r="3" spans="2:12" s="51" customFormat="1" ht="45.75" customHeight="1">
      <c r="B3" s="81"/>
      <c r="C3" s="297" t="s">
        <v>202</v>
      </c>
      <c r="D3" s="83" t="s">
        <v>203</v>
      </c>
      <c r="E3" s="83" t="s">
        <v>178</v>
      </c>
      <c r="F3" s="84" t="s">
        <v>71</v>
      </c>
      <c r="H3" s="377"/>
      <c r="I3" s="378"/>
    </row>
    <row r="4" spans="2:12">
      <c r="B4" s="52" t="s">
        <v>91</v>
      </c>
      <c r="C4" s="163"/>
      <c r="D4" s="347">
        <f>'Seplat (Oben)  Allocation'!M4</f>
        <v>10</v>
      </c>
      <c r="E4" s="347">
        <f>'NPDC JV ALLOCATION'!M4</f>
        <v>5</v>
      </c>
      <c r="F4" s="179"/>
    </row>
    <row r="5" spans="2:12">
      <c r="B5" s="52" t="s">
        <v>92</v>
      </c>
      <c r="C5" s="163"/>
      <c r="D5" s="347">
        <v>10</v>
      </c>
      <c r="E5" s="347">
        <v>5</v>
      </c>
      <c r="F5" s="179"/>
    </row>
    <row r="6" spans="2:12">
      <c r="B6" s="52" t="s">
        <v>93</v>
      </c>
      <c r="C6" s="163">
        <f>West_Summary!C21</f>
        <v>14.43</v>
      </c>
      <c r="D6" s="326">
        <v>10</v>
      </c>
      <c r="E6" s="326">
        <v>4.43</v>
      </c>
      <c r="F6" s="179">
        <f>-C6+SUM(D6:E6)</f>
        <v>0</v>
      </c>
      <c r="G6" s="58"/>
      <c r="H6" s="58"/>
    </row>
    <row r="7" spans="2:12">
      <c r="B7" s="52"/>
      <c r="C7" s="150"/>
      <c r="D7" s="78"/>
      <c r="E7" s="88"/>
      <c r="F7" s="89"/>
      <c r="G7" s="58"/>
      <c r="H7" s="58"/>
    </row>
    <row r="8" spans="2:12" ht="13.5" thickBot="1">
      <c r="B8" s="62" t="s">
        <v>76</v>
      </c>
      <c r="C8" s="151">
        <f t="shared" ref="C8:F8" si="0">C6</f>
        <v>14.43</v>
      </c>
      <c r="D8" s="63">
        <f t="shared" si="0"/>
        <v>10</v>
      </c>
      <c r="E8" s="63">
        <f t="shared" si="0"/>
        <v>4.43</v>
      </c>
      <c r="F8" s="65">
        <f t="shared" si="0"/>
        <v>0</v>
      </c>
      <c r="G8" s="58"/>
      <c r="H8" s="58"/>
    </row>
    <row r="9" spans="2:12" ht="13">
      <c r="B9" s="199"/>
      <c r="C9" s="307"/>
      <c r="D9" s="191"/>
      <c r="E9" s="191"/>
      <c r="F9" s="200"/>
      <c r="G9" s="108"/>
      <c r="H9" s="58"/>
      <c r="I9" s="58"/>
    </row>
    <row r="10" spans="2:12" ht="13">
      <c r="B10" s="199"/>
      <c r="C10" s="307"/>
      <c r="D10" s="192"/>
      <c r="E10" s="192"/>
      <c r="F10" s="308"/>
      <c r="G10" s="108"/>
      <c r="H10" s="58"/>
      <c r="I10" s="58"/>
      <c r="J10" s="58"/>
      <c r="K10" s="58"/>
      <c r="L10" s="58"/>
    </row>
    <row r="11" spans="2:12" ht="13">
      <c r="B11" s="391" t="s">
        <v>77</v>
      </c>
      <c r="C11" s="380"/>
      <c r="D11" s="138">
        <f>D6+E6</f>
        <v>14.43</v>
      </c>
      <c r="E11" s="138"/>
      <c r="F11" s="309"/>
      <c r="G11" s="108"/>
      <c r="H11" s="58"/>
    </row>
    <row r="12" spans="2:12" ht="17.25" customHeight="1" thickBot="1">
      <c r="B12" s="202"/>
      <c r="C12" s="311"/>
      <c r="D12" s="203"/>
      <c r="E12" s="203"/>
      <c r="F12" s="204"/>
      <c r="G12" s="296"/>
    </row>
    <row r="14" spans="2:12">
      <c r="D14" s="67"/>
    </row>
  </sheetData>
  <mergeCells count="3">
    <mergeCell ref="B2:F2"/>
    <mergeCell ref="H3:I3"/>
    <mergeCell ref="B11:C11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B1:W20"/>
  <sheetViews>
    <sheetView zoomScale="86" zoomScaleNormal="86" workbookViewId="0">
      <selection activeCell="J10" sqref="J10"/>
    </sheetView>
  </sheetViews>
  <sheetFormatPr defaultColWidth="9.1796875" defaultRowHeight="12.5"/>
  <cols>
    <col min="1" max="1" width="3.54296875" style="44" customWidth="1"/>
    <col min="2" max="2" width="19.7265625" style="44" bestFit="1" customWidth="1"/>
    <col min="3" max="3" width="16.54296875" style="44" bestFit="1" customWidth="1"/>
    <col min="4" max="4" width="13.7265625" style="44" customWidth="1"/>
    <col min="5" max="5" width="13.81640625" style="44" customWidth="1"/>
    <col min="6" max="6" width="14.453125" style="44" customWidth="1"/>
    <col min="7" max="7" width="11.26953125" style="44" bestFit="1" customWidth="1"/>
    <col min="8" max="8" width="11.7265625" style="44" customWidth="1"/>
    <col min="9" max="10" width="11" style="44" customWidth="1"/>
    <col min="11" max="11" width="10.7265625" style="44" bestFit="1" customWidth="1"/>
    <col min="12" max="12" width="11.7265625" style="44" bestFit="1" customWidth="1"/>
    <col min="13" max="13" width="11.1796875" style="44" customWidth="1"/>
    <col min="14" max="14" width="12.81640625" style="44" customWidth="1"/>
    <col min="15" max="15" width="9.81640625" style="44" customWidth="1"/>
    <col min="16" max="16" width="10.7265625" style="44" customWidth="1"/>
    <col min="17" max="17" width="11.453125" style="44" customWidth="1"/>
    <col min="18" max="18" width="11.1796875" style="44" customWidth="1"/>
    <col min="19" max="19" width="9.54296875" style="44" bestFit="1" customWidth="1"/>
    <col min="20" max="20" width="10.7265625" style="44" bestFit="1" customWidth="1"/>
    <col min="21" max="21" width="11.7265625" style="44" bestFit="1" customWidth="1"/>
    <col min="22" max="22" width="9.54296875" style="44" bestFit="1" customWidth="1"/>
    <col min="23" max="23" width="11.54296875" style="44" customWidth="1"/>
    <col min="24" max="24" width="22.54296875" style="44" customWidth="1"/>
    <col min="25" max="16384" width="9.1796875" style="44"/>
  </cols>
  <sheetData>
    <row r="1" spans="2:23">
      <c r="B1" s="41"/>
      <c r="C1" s="42"/>
      <c r="D1" s="43"/>
    </row>
    <row r="2" spans="2:23" ht="13.5" thickBot="1">
      <c r="B2" s="407" t="s">
        <v>59</v>
      </c>
      <c r="C2" s="407"/>
      <c r="D2" s="407"/>
      <c r="E2" s="407"/>
      <c r="F2" s="407"/>
      <c r="G2" s="40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2:23" s="51" customFormat="1" ht="45.75" customHeight="1" thickTop="1">
      <c r="B3" s="99"/>
      <c r="C3" s="47" t="s">
        <v>204</v>
      </c>
      <c r="D3" s="48" t="s">
        <v>108</v>
      </c>
      <c r="E3" s="48" t="s">
        <v>205</v>
      </c>
      <c r="F3" s="48" t="s">
        <v>206</v>
      </c>
      <c r="G3" s="100" t="s">
        <v>71</v>
      </c>
      <c r="T3" s="377"/>
      <c r="U3" s="378"/>
    </row>
    <row r="4" spans="2:23">
      <c r="B4" s="52" t="s">
        <v>91</v>
      </c>
      <c r="C4" s="78"/>
      <c r="D4" s="129">
        <v>10</v>
      </c>
      <c r="E4" s="129">
        <v>25</v>
      </c>
      <c r="F4" s="129">
        <v>6</v>
      </c>
      <c r="G4" s="102"/>
    </row>
    <row r="5" spans="2:23">
      <c r="B5" s="52" t="s">
        <v>92</v>
      </c>
      <c r="C5" s="78"/>
      <c r="D5" s="129">
        <v>10</v>
      </c>
      <c r="E5" s="348">
        <v>25</v>
      </c>
      <c r="F5" s="348">
        <v>6</v>
      </c>
      <c r="G5" s="102"/>
    </row>
    <row r="6" spans="2:23">
      <c r="B6" s="52" t="s">
        <v>93</v>
      </c>
      <c r="C6" s="59">
        <f>E18</f>
        <v>15</v>
      </c>
      <c r="D6" s="117">
        <v>10</v>
      </c>
      <c r="E6" s="88">
        <f>'NDPHC Attribution'!D8</f>
        <v>0</v>
      </c>
      <c r="F6" s="119">
        <v>5</v>
      </c>
      <c r="G6" s="102">
        <f>C6-D6-E6-F6</f>
        <v>0</v>
      </c>
      <c r="H6" s="58"/>
      <c r="I6" s="58"/>
    </row>
    <row r="7" spans="2:23">
      <c r="B7" s="101"/>
      <c r="C7" s="78"/>
      <c r="D7" s="78"/>
      <c r="E7" s="78"/>
      <c r="F7" s="92"/>
      <c r="G7" s="103"/>
      <c r="H7" s="58"/>
      <c r="I7" s="58"/>
    </row>
    <row r="8" spans="2:23" ht="13.5" thickBot="1">
      <c r="B8" s="104" t="s">
        <v>76</v>
      </c>
      <c r="C8" s="105">
        <f>C6</f>
        <v>15</v>
      </c>
      <c r="D8" s="63">
        <f>D6</f>
        <v>10</v>
      </c>
      <c r="E8" s="63">
        <f>E6</f>
        <v>0</v>
      </c>
      <c r="F8" s="63">
        <f>F6</f>
        <v>5</v>
      </c>
      <c r="G8" s="106">
        <f>G6</f>
        <v>0</v>
      </c>
      <c r="H8" s="58"/>
      <c r="I8" s="58"/>
    </row>
    <row r="9" spans="2:23" ht="13">
      <c r="B9" s="107"/>
      <c r="C9" s="45"/>
      <c r="D9" s="108"/>
      <c r="E9" s="109"/>
      <c r="F9" s="109"/>
      <c r="G9" s="110"/>
      <c r="I9" s="58"/>
    </row>
    <row r="10" spans="2:23" ht="13">
      <c r="B10" s="408" t="s">
        <v>77</v>
      </c>
      <c r="C10" s="387"/>
      <c r="D10" s="111"/>
      <c r="E10" s="112">
        <f>D6+E6+F6</f>
        <v>15</v>
      </c>
      <c r="F10" s="112"/>
      <c r="G10" s="110"/>
      <c r="I10" s="58"/>
    </row>
    <row r="11" spans="2:23" ht="13">
      <c r="B11" s="113"/>
      <c r="C11" s="70"/>
      <c r="D11" s="111"/>
      <c r="E11" s="112"/>
      <c r="F11" s="112"/>
      <c r="G11" s="110"/>
      <c r="I11" s="58"/>
    </row>
    <row r="12" spans="2:23" ht="13.5" thickBot="1">
      <c r="B12" s="113"/>
      <c r="C12" s="70"/>
      <c r="D12" s="411" t="s">
        <v>207</v>
      </c>
      <c r="E12" s="411"/>
      <c r="F12" s="112"/>
      <c r="G12" s="110"/>
      <c r="H12" s="58"/>
      <c r="I12" s="58"/>
    </row>
    <row r="13" spans="2:23" ht="26">
      <c r="B13" s="113"/>
      <c r="C13" s="70"/>
      <c r="D13" s="120" t="s">
        <v>197</v>
      </c>
      <c r="E13" s="169" t="s">
        <v>198</v>
      </c>
      <c r="F13" s="112"/>
      <c r="G13" s="110"/>
    </row>
    <row r="14" spans="2:23" ht="13">
      <c r="B14" s="113"/>
      <c r="C14" s="70"/>
      <c r="D14" s="52" t="s">
        <v>6</v>
      </c>
      <c r="E14" s="142">
        <f>'CNL Allocation '!J8</f>
        <v>0</v>
      </c>
      <c r="F14" s="112"/>
      <c r="G14" s="110"/>
      <c r="H14" s="58"/>
      <c r="I14" s="58"/>
    </row>
    <row r="15" spans="2:23" ht="13">
      <c r="B15" s="113"/>
      <c r="C15" s="70"/>
      <c r="D15" s="52" t="s">
        <v>208</v>
      </c>
      <c r="E15" s="142">
        <f>'NPDC JV ALLOCATION'!N8</f>
        <v>0</v>
      </c>
      <c r="F15" s="112"/>
      <c r="G15" s="110"/>
      <c r="I15" s="58"/>
    </row>
    <row r="16" spans="2:23" ht="13">
      <c r="B16" s="113"/>
      <c r="C16" s="70"/>
      <c r="D16" s="52" t="s">
        <v>13</v>
      </c>
      <c r="E16" s="142">
        <f>'PPL Allocation  '!F8</f>
        <v>2</v>
      </c>
      <c r="F16" s="112"/>
      <c r="G16" s="110"/>
      <c r="H16" s="58"/>
    </row>
    <row r="17" spans="2:11" ht="13">
      <c r="B17" s="113"/>
      <c r="C17" s="70"/>
      <c r="D17" s="52" t="s">
        <v>10</v>
      </c>
      <c r="E17" s="142">
        <f>'Panocean Allocation'!G8</f>
        <v>13</v>
      </c>
      <c r="F17" s="112"/>
      <c r="G17" s="110"/>
      <c r="I17" s="58"/>
    </row>
    <row r="18" spans="2:11" ht="13.5" thickBot="1">
      <c r="B18" s="113"/>
      <c r="C18" s="70"/>
      <c r="D18" s="122" t="s">
        <v>157</v>
      </c>
      <c r="E18" s="123">
        <f>SUM(E14:E17)</f>
        <v>15</v>
      </c>
      <c r="F18" s="112"/>
      <c r="G18" s="110"/>
    </row>
    <row r="19" spans="2:11" ht="17.25" customHeight="1" thickBot="1">
      <c r="B19" s="114"/>
      <c r="C19" s="115"/>
      <c r="D19" s="115"/>
      <c r="E19" s="115"/>
      <c r="F19" s="115"/>
      <c r="G19" s="116"/>
      <c r="H19" s="118"/>
      <c r="I19" s="118"/>
      <c r="J19" s="118"/>
      <c r="K19" s="118"/>
    </row>
    <row r="20" spans="2:11" ht="13" thickTop="1"/>
  </sheetData>
  <mergeCells count="4">
    <mergeCell ref="B2:G2"/>
    <mergeCell ref="T3:U3"/>
    <mergeCell ref="B10:C10"/>
    <mergeCell ref="D12:E12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1"/>
  <sheetViews>
    <sheetView zoomScale="88" zoomScaleNormal="88" workbookViewId="0">
      <selection activeCell="H16" sqref="H16"/>
    </sheetView>
  </sheetViews>
  <sheetFormatPr defaultColWidth="9.1796875" defaultRowHeight="12.5"/>
  <cols>
    <col min="1" max="1" width="3.54296875" style="44" customWidth="1"/>
    <col min="2" max="2" width="19.7265625" style="44" bestFit="1" customWidth="1"/>
    <col min="3" max="3" width="16.54296875" style="44" bestFit="1" customWidth="1"/>
    <col min="4" max="5" width="15.7265625" style="44" customWidth="1"/>
    <col min="6" max="6" width="14.453125" style="44" customWidth="1"/>
    <col min="7" max="7" width="11.26953125" style="44" bestFit="1" customWidth="1"/>
    <col min="8" max="8" width="11.7265625" style="44" customWidth="1"/>
    <col min="9" max="10" width="11" style="44" customWidth="1"/>
    <col min="11" max="11" width="10.7265625" style="44" bestFit="1" customWidth="1"/>
    <col min="12" max="12" width="11.7265625" style="44" bestFit="1" customWidth="1"/>
    <col min="13" max="13" width="11.1796875" style="44" customWidth="1"/>
    <col min="14" max="14" width="12.81640625" style="44" customWidth="1"/>
    <col min="15" max="15" width="9.81640625" style="44" customWidth="1"/>
    <col min="16" max="16" width="10.7265625" style="44" customWidth="1"/>
    <col min="17" max="17" width="11.453125" style="44" customWidth="1"/>
    <col min="18" max="18" width="11.1796875" style="44" customWidth="1"/>
    <col min="19" max="19" width="9.54296875" style="44" bestFit="1" customWidth="1"/>
    <col min="20" max="20" width="10.7265625" style="44" bestFit="1" customWidth="1"/>
    <col min="21" max="21" width="11.7265625" style="44" bestFit="1" customWidth="1"/>
    <col min="22" max="22" width="9.54296875" style="44" bestFit="1" customWidth="1"/>
    <col min="23" max="23" width="11.54296875" style="44" customWidth="1"/>
    <col min="24" max="24" width="22.54296875" style="44" customWidth="1"/>
    <col min="25" max="16384" width="9.1796875" style="44"/>
  </cols>
  <sheetData>
    <row r="1" spans="2:23">
      <c r="B1" s="41"/>
      <c r="C1" s="42"/>
      <c r="D1" s="43"/>
    </row>
    <row r="2" spans="2:23" ht="13.5" thickBot="1">
      <c r="B2" s="407" t="s">
        <v>209</v>
      </c>
      <c r="C2" s="407"/>
      <c r="D2" s="407"/>
      <c r="E2" s="407"/>
      <c r="F2" s="407"/>
      <c r="G2" s="40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2:23" s="51" customFormat="1" ht="45.75" customHeight="1">
      <c r="B3" s="81"/>
      <c r="C3" s="82" t="s">
        <v>210</v>
      </c>
      <c r="D3" s="83" t="s">
        <v>211</v>
      </c>
      <c r="E3" s="83" t="s">
        <v>212</v>
      </c>
      <c r="F3" s="83" t="s">
        <v>195</v>
      </c>
      <c r="G3" s="84" t="s">
        <v>71</v>
      </c>
      <c r="T3" s="377"/>
      <c r="U3" s="378"/>
    </row>
    <row r="4" spans="2:23">
      <c r="B4" s="52" t="s">
        <v>91</v>
      </c>
      <c r="C4" s="78"/>
      <c r="D4" s="80">
        <v>6</v>
      </c>
      <c r="E4" s="80"/>
      <c r="F4" s="80"/>
      <c r="G4" s="179"/>
    </row>
    <row r="5" spans="2:23">
      <c r="B5" s="52" t="s">
        <v>92</v>
      </c>
      <c r="C5" s="78"/>
      <c r="D5" s="88">
        <v>6</v>
      </c>
      <c r="E5" s="90"/>
      <c r="F5" s="90"/>
      <c r="G5" s="179"/>
    </row>
    <row r="6" spans="2:23">
      <c r="B6" s="52" t="s">
        <v>93</v>
      </c>
      <c r="C6" s="59">
        <f>E16</f>
        <v>3</v>
      </c>
      <c r="D6" s="79">
        <v>3</v>
      </c>
      <c r="E6" s="88"/>
      <c r="F6" s="119"/>
      <c r="G6" s="179">
        <f>C6-D6-E6-F6</f>
        <v>0</v>
      </c>
      <c r="I6" s="58"/>
    </row>
    <row r="7" spans="2:23">
      <c r="B7" s="52"/>
      <c r="C7" s="78"/>
      <c r="D7" s="78"/>
      <c r="E7" s="78"/>
      <c r="F7" s="92"/>
      <c r="G7" s="89"/>
      <c r="H7" s="58"/>
      <c r="I7" s="58"/>
    </row>
    <row r="8" spans="2:23" ht="13.5" thickBot="1">
      <c r="B8" s="62" t="s">
        <v>76</v>
      </c>
      <c r="C8" s="105">
        <f>C6</f>
        <v>3</v>
      </c>
      <c r="D8" s="63">
        <f>D6</f>
        <v>3</v>
      </c>
      <c r="E8" s="63">
        <f>E6</f>
        <v>0</v>
      </c>
      <c r="F8" s="63">
        <f>F6</f>
        <v>0</v>
      </c>
      <c r="G8" s="65">
        <f>G6</f>
        <v>0</v>
      </c>
      <c r="H8" s="58"/>
      <c r="I8" s="58"/>
      <c r="J8" s="91"/>
    </row>
    <row r="9" spans="2:23" ht="13">
      <c r="B9" s="215"/>
      <c r="C9" s="45"/>
      <c r="D9" s="108"/>
      <c r="E9" s="109"/>
      <c r="F9" s="109"/>
      <c r="G9" s="216"/>
      <c r="I9" s="58"/>
    </row>
    <row r="10" spans="2:23" ht="13">
      <c r="B10" s="386" t="s">
        <v>77</v>
      </c>
      <c r="C10" s="387"/>
      <c r="D10" s="111"/>
      <c r="E10" s="112">
        <f>D6+E6+F6</f>
        <v>3</v>
      </c>
      <c r="F10" s="112"/>
      <c r="G10" s="216"/>
      <c r="I10" s="58"/>
    </row>
    <row r="11" spans="2:23" ht="13">
      <c r="B11" s="98"/>
      <c r="C11" s="70"/>
      <c r="D11" s="111"/>
      <c r="E11" s="112"/>
      <c r="F11" s="112"/>
      <c r="G11" s="216"/>
      <c r="I11" s="58"/>
    </row>
    <row r="12" spans="2:23" ht="13.5" thickBot="1">
      <c r="B12" s="98"/>
      <c r="C12" s="70"/>
      <c r="D12" s="411" t="s">
        <v>213</v>
      </c>
      <c r="E12" s="411"/>
      <c r="F12" s="112"/>
      <c r="G12" s="216"/>
    </row>
    <row r="13" spans="2:23" ht="13">
      <c r="B13" s="98"/>
      <c r="C13" s="70"/>
      <c r="D13" s="120" t="s">
        <v>197</v>
      </c>
      <c r="E13" s="169" t="s">
        <v>198</v>
      </c>
      <c r="F13" s="112"/>
      <c r="G13" s="216"/>
    </row>
    <row r="14" spans="2:23" ht="13">
      <c r="B14" s="98"/>
      <c r="C14" s="70"/>
      <c r="D14" s="52" t="s">
        <v>156</v>
      </c>
      <c r="E14" s="142">
        <v>0</v>
      </c>
      <c r="F14" s="112"/>
      <c r="G14" s="216"/>
    </row>
    <row r="15" spans="2:23" ht="13">
      <c r="B15" s="98"/>
      <c r="C15" s="70"/>
      <c r="D15" s="52" t="s">
        <v>214</v>
      </c>
      <c r="E15" s="142">
        <f>'PPL Allocation  '!E8</f>
        <v>3</v>
      </c>
      <c r="F15" s="112"/>
      <c r="G15" s="216"/>
      <c r="I15" s="58"/>
    </row>
    <row r="16" spans="2:23" ht="13.5" thickBot="1">
      <c r="B16" s="98"/>
      <c r="C16" s="70"/>
      <c r="D16" s="122" t="s">
        <v>157</v>
      </c>
      <c r="E16" s="123">
        <f>SUM(E14:E15)</f>
        <v>3</v>
      </c>
      <c r="F16" s="112"/>
      <c r="G16" s="216"/>
      <c r="H16" s="58"/>
    </row>
    <row r="17" spans="2:11" ht="17.25" customHeight="1" thickBot="1">
      <c r="B17" s="217"/>
      <c r="C17" s="218"/>
      <c r="D17" s="218"/>
      <c r="E17" s="218"/>
      <c r="F17" s="218"/>
      <c r="G17" s="219"/>
      <c r="H17" s="118"/>
      <c r="I17" s="118"/>
      <c r="J17" s="118"/>
      <c r="K17" s="118"/>
    </row>
    <row r="21" spans="2:11">
      <c r="E21" s="58"/>
    </row>
  </sheetData>
  <mergeCells count="4">
    <mergeCell ref="B2:G2"/>
    <mergeCell ref="T3:U3"/>
    <mergeCell ref="B10:C10"/>
    <mergeCell ref="D12:E12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8"/>
  <sheetViews>
    <sheetView zoomScale="88" zoomScaleNormal="88" workbookViewId="0">
      <selection activeCell="J11" sqref="J11"/>
    </sheetView>
  </sheetViews>
  <sheetFormatPr defaultColWidth="9.1796875" defaultRowHeight="12.5"/>
  <cols>
    <col min="1" max="1" width="3.54296875" style="44" customWidth="1"/>
    <col min="2" max="2" width="19.7265625" style="44" bestFit="1" customWidth="1"/>
    <col min="3" max="3" width="16.54296875" style="44" bestFit="1" customWidth="1"/>
    <col min="4" max="5" width="15.7265625" style="44" customWidth="1"/>
    <col min="6" max="6" width="14.453125" style="44" customWidth="1"/>
    <col min="7" max="7" width="11.26953125" style="44" bestFit="1" customWidth="1"/>
    <col min="8" max="8" width="11.7265625" style="44" customWidth="1"/>
    <col min="9" max="10" width="11" style="44" customWidth="1"/>
    <col min="11" max="11" width="10.7265625" style="44" bestFit="1" customWidth="1"/>
    <col min="12" max="12" width="11.7265625" style="44" bestFit="1" customWidth="1"/>
    <col min="13" max="13" width="11.1796875" style="44" customWidth="1"/>
    <col min="14" max="14" width="12.81640625" style="44" customWidth="1"/>
    <col min="15" max="15" width="9.81640625" style="44" customWidth="1"/>
    <col min="16" max="16" width="10.7265625" style="44" customWidth="1"/>
    <col min="17" max="17" width="11.453125" style="44" customWidth="1"/>
    <col min="18" max="18" width="11.1796875" style="44" customWidth="1"/>
    <col min="19" max="19" width="9.54296875" style="44" bestFit="1" customWidth="1"/>
    <col min="20" max="20" width="10.7265625" style="44" bestFit="1" customWidth="1"/>
    <col min="21" max="21" width="11.7265625" style="44" bestFit="1" customWidth="1"/>
    <col min="22" max="22" width="9.54296875" style="44" bestFit="1" customWidth="1"/>
    <col min="23" max="23" width="11.54296875" style="44" customWidth="1"/>
    <col min="24" max="24" width="22.54296875" style="44" customWidth="1"/>
    <col min="25" max="16384" width="9.1796875" style="44"/>
  </cols>
  <sheetData>
    <row r="1" spans="2:23">
      <c r="B1" s="41"/>
      <c r="C1" s="42"/>
      <c r="D1" s="43"/>
    </row>
    <row r="2" spans="2:23" ht="13.5" thickBot="1">
      <c r="B2" s="407" t="s">
        <v>60</v>
      </c>
      <c r="C2" s="407"/>
      <c r="D2" s="407"/>
      <c r="E2" s="407"/>
      <c r="F2" s="407"/>
      <c r="G2" s="40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2:23" s="51" customFormat="1" ht="45.75" customHeight="1" thickTop="1">
      <c r="B3" s="99"/>
      <c r="C3" s="47" t="s">
        <v>215</v>
      </c>
      <c r="D3" s="48" t="s">
        <v>108</v>
      </c>
      <c r="E3" s="48" t="s">
        <v>212</v>
      </c>
      <c r="F3" s="48" t="s">
        <v>195</v>
      </c>
      <c r="G3" s="100" t="s">
        <v>71</v>
      </c>
      <c r="T3" s="377"/>
      <c r="U3" s="378"/>
    </row>
    <row r="4" spans="2:23">
      <c r="B4" s="52" t="s">
        <v>91</v>
      </c>
      <c r="C4" s="78"/>
      <c r="D4" s="80">
        <v>5</v>
      </c>
      <c r="E4" s="80"/>
      <c r="F4" s="80"/>
      <c r="G4" s="102"/>
    </row>
    <row r="5" spans="2:23">
      <c r="B5" s="52" t="s">
        <v>92</v>
      </c>
      <c r="C5" s="78"/>
      <c r="D5" s="80">
        <v>5</v>
      </c>
      <c r="E5" s="90"/>
      <c r="F5" s="90"/>
      <c r="G5" s="102"/>
    </row>
    <row r="6" spans="2:23">
      <c r="B6" s="52" t="s">
        <v>93</v>
      </c>
      <c r="C6" s="59">
        <f>E16</f>
        <v>5</v>
      </c>
      <c r="D6" s="139">
        <v>5</v>
      </c>
      <c r="E6" s="88"/>
      <c r="F6" s="119"/>
      <c r="G6" s="102">
        <f>C6-D6-E6-F6</f>
        <v>0</v>
      </c>
      <c r="I6" s="58"/>
    </row>
    <row r="7" spans="2:23">
      <c r="B7" s="101"/>
      <c r="C7" s="78"/>
      <c r="D7" s="78"/>
      <c r="E7" s="78"/>
      <c r="F7" s="92"/>
      <c r="G7" s="103"/>
      <c r="H7" s="58"/>
      <c r="I7" s="58"/>
    </row>
    <row r="8" spans="2:23" ht="13.5" thickBot="1">
      <c r="B8" s="104" t="s">
        <v>76</v>
      </c>
      <c r="C8" s="105">
        <f>C6</f>
        <v>5</v>
      </c>
      <c r="D8" s="63">
        <f>D6</f>
        <v>5</v>
      </c>
      <c r="E8" s="63">
        <f>E6</f>
        <v>0</v>
      </c>
      <c r="F8" s="63">
        <f>F6</f>
        <v>0</v>
      </c>
      <c r="G8" s="106">
        <f>G6</f>
        <v>0</v>
      </c>
      <c r="H8" s="58"/>
      <c r="I8" s="58"/>
      <c r="J8" s="91"/>
    </row>
    <row r="9" spans="2:23" ht="13">
      <c r="B9" s="107"/>
      <c r="C9" s="45"/>
      <c r="D9" s="108"/>
      <c r="E9" s="109"/>
      <c r="F9" s="109"/>
      <c r="G9" s="110"/>
      <c r="I9" s="58"/>
    </row>
    <row r="10" spans="2:23" ht="13">
      <c r="B10" s="408" t="s">
        <v>77</v>
      </c>
      <c r="C10" s="387"/>
      <c r="D10" s="111"/>
      <c r="E10" s="112">
        <f>D6+E6+F6</f>
        <v>5</v>
      </c>
      <c r="F10" s="112"/>
      <c r="G10" s="110"/>
      <c r="I10" s="58"/>
    </row>
    <row r="11" spans="2:23" ht="13">
      <c r="B11" s="113"/>
      <c r="C11" s="70"/>
      <c r="D11" s="111"/>
      <c r="E11" s="112"/>
      <c r="F11" s="112"/>
      <c r="G11" s="110"/>
      <c r="I11" s="58"/>
    </row>
    <row r="12" spans="2:23" ht="13.5" thickBot="1">
      <c r="B12" s="113"/>
      <c r="C12" s="70"/>
      <c r="D12" s="411" t="s">
        <v>216</v>
      </c>
      <c r="E12" s="411"/>
      <c r="F12" s="112"/>
      <c r="G12" s="110"/>
    </row>
    <row r="13" spans="2:23" ht="13">
      <c r="B13" s="113"/>
      <c r="C13" s="70"/>
      <c r="D13" s="120" t="s">
        <v>197</v>
      </c>
      <c r="E13" s="169" t="s">
        <v>198</v>
      </c>
      <c r="F13" s="112"/>
      <c r="G13" s="110"/>
    </row>
    <row r="14" spans="2:23" ht="13">
      <c r="B14" s="113"/>
      <c r="C14" s="70"/>
      <c r="D14" s="52" t="s">
        <v>58</v>
      </c>
      <c r="E14" s="142">
        <f>MSN!G8</f>
        <v>5</v>
      </c>
      <c r="F14" s="112"/>
      <c r="G14" s="110"/>
    </row>
    <row r="15" spans="2:23" ht="13">
      <c r="B15" s="113"/>
      <c r="C15" s="70"/>
      <c r="D15" s="52"/>
      <c r="E15" s="142"/>
      <c r="F15" s="112"/>
      <c r="G15" s="110"/>
      <c r="I15" s="58"/>
    </row>
    <row r="16" spans="2:23" ht="13.5" thickBot="1">
      <c r="B16" s="113"/>
      <c r="C16" s="70"/>
      <c r="D16" s="122" t="s">
        <v>157</v>
      </c>
      <c r="E16" s="123">
        <f>SUM(E14:E15)</f>
        <v>5</v>
      </c>
      <c r="F16" s="112"/>
      <c r="G16" s="110"/>
      <c r="H16" s="58"/>
    </row>
    <row r="17" spans="2:11" ht="17.25" customHeight="1" thickBot="1">
      <c r="B17" s="114"/>
      <c r="C17" s="115"/>
      <c r="D17" s="115"/>
      <c r="E17" s="115"/>
      <c r="F17" s="115"/>
      <c r="G17" s="116"/>
      <c r="H17" s="118"/>
      <c r="I17" s="118"/>
      <c r="J17" s="118"/>
      <c r="K17" s="118"/>
    </row>
    <row r="18" spans="2:11" ht="13" thickTop="1"/>
  </sheetData>
  <mergeCells count="4">
    <mergeCell ref="B2:G2"/>
    <mergeCell ref="T3:U3"/>
    <mergeCell ref="B10:C10"/>
    <mergeCell ref="D12:E12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B1:U21"/>
  <sheetViews>
    <sheetView zoomScale="89" zoomScaleNormal="89" workbookViewId="0">
      <selection activeCell="L16" sqref="L16"/>
    </sheetView>
  </sheetViews>
  <sheetFormatPr defaultColWidth="9.1796875" defaultRowHeight="12.5"/>
  <cols>
    <col min="1" max="1" width="3.54296875" style="44" customWidth="1"/>
    <col min="2" max="2" width="19.7265625" style="44" bestFit="1" customWidth="1"/>
    <col min="3" max="3" width="15.54296875" style="44" customWidth="1"/>
    <col min="4" max="4" width="17.81640625" style="44" bestFit="1" customWidth="1"/>
    <col min="5" max="5" width="16.453125" style="44" bestFit="1" customWidth="1"/>
    <col min="6" max="6" width="12.54296875" style="44" customWidth="1"/>
    <col min="7" max="7" width="14.26953125" style="44" customWidth="1"/>
    <col min="8" max="9" width="16.26953125" style="44" bestFit="1" customWidth="1"/>
    <col min="10" max="10" width="15" style="44" customWidth="1"/>
    <col min="11" max="11" width="11.7265625" style="44" customWidth="1"/>
    <col min="12" max="12" width="12.81640625" style="44" customWidth="1"/>
    <col min="13" max="13" width="9.81640625" style="44" customWidth="1"/>
    <col min="14" max="14" width="22.1796875" style="44" customWidth="1"/>
    <col min="15" max="15" width="11.453125" style="44" customWidth="1"/>
    <col min="16" max="16" width="11.1796875" style="44" customWidth="1"/>
    <col min="17" max="17" width="9.54296875" style="44" bestFit="1" customWidth="1"/>
    <col min="18" max="18" width="10.7265625" style="44" bestFit="1" customWidth="1"/>
    <col min="19" max="19" width="11.7265625" style="44" bestFit="1" customWidth="1"/>
    <col min="20" max="20" width="9.54296875" style="44" bestFit="1" customWidth="1"/>
    <col min="21" max="21" width="11.54296875" style="44" customWidth="1"/>
    <col min="22" max="22" width="22.54296875" style="44" customWidth="1"/>
    <col min="23" max="16384" width="9.1796875" style="44"/>
  </cols>
  <sheetData>
    <row r="1" spans="2:21" ht="13" thickBot="1">
      <c r="B1" s="41"/>
      <c r="C1" s="42"/>
      <c r="D1" s="43"/>
    </row>
    <row r="2" spans="2:21" ht="13.5" thickBot="1">
      <c r="B2" s="388" t="s">
        <v>217</v>
      </c>
      <c r="C2" s="389"/>
      <c r="D2" s="389"/>
      <c r="E2" s="389"/>
      <c r="F2" s="389"/>
      <c r="G2" s="389"/>
      <c r="H2" s="389"/>
      <c r="I2" s="389"/>
      <c r="J2" s="390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2:21" s="51" customFormat="1" ht="39.5" thickTop="1">
      <c r="B3" s="46"/>
      <c r="C3" s="47" t="s">
        <v>218</v>
      </c>
      <c r="D3" s="48" t="s">
        <v>140</v>
      </c>
      <c r="E3" s="48" t="s">
        <v>219</v>
      </c>
      <c r="F3" s="48" t="s">
        <v>205</v>
      </c>
      <c r="G3" s="48" t="s">
        <v>220</v>
      </c>
      <c r="H3" s="48" t="s">
        <v>221</v>
      </c>
      <c r="I3" s="48" t="s">
        <v>222</v>
      </c>
      <c r="J3" s="50" t="s">
        <v>71</v>
      </c>
      <c r="R3" s="377"/>
      <c r="S3" s="378"/>
    </row>
    <row r="4" spans="2:21">
      <c r="B4" s="52" t="s">
        <v>91</v>
      </c>
      <c r="C4" s="78"/>
      <c r="D4" s="129">
        <f>'NGML Gas Allocation '!C16</f>
        <v>20</v>
      </c>
      <c r="E4" s="80">
        <v>0</v>
      </c>
      <c r="F4" s="80">
        <f>'NDPHC Attribution'!E4</f>
        <v>70</v>
      </c>
      <c r="G4" s="80">
        <v>5</v>
      </c>
      <c r="H4" s="80"/>
      <c r="I4" s="80"/>
      <c r="J4" s="179"/>
    </row>
    <row r="5" spans="2:21">
      <c r="B5" s="52" t="s">
        <v>92</v>
      </c>
      <c r="C5" s="78"/>
      <c r="D5" s="88">
        <v>20</v>
      </c>
      <c r="E5" s="88">
        <v>0</v>
      </c>
      <c r="F5" s="88">
        <v>70</v>
      </c>
      <c r="G5" s="88">
        <v>5</v>
      </c>
      <c r="H5" s="90"/>
      <c r="I5" s="90"/>
      <c r="J5" s="179"/>
    </row>
    <row r="6" spans="2:21">
      <c r="B6" s="52" t="s">
        <v>93</v>
      </c>
      <c r="C6" s="59">
        <f>E20</f>
        <v>95</v>
      </c>
      <c r="D6" s="117">
        <v>20</v>
      </c>
      <c r="E6" s="117">
        <v>0</v>
      </c>
      <c r="F6" s="88">
        <f>'NDPHC Attribution'!E8</f>
        <v>44.622000000000014</v>
      </c>
      <c r="G6" s="88">
        <v>5</v>
      </c>
      <c r="H6" s="119">
        <v>14.500999999999998</v>
      </c>
      <c r="I6" s="119">
        <v>10.876999999999999</v>
      </c>
      <c r="J6" s="179">
        <f>C6-D6-E6-H6-I6-F6-G6</f>
        <v>-1.4210854715202004E-14</v>
      </c>
      <c r="K6" s="58"/>
      <c r="L6" s="58"/>
      <c r="M6" s="58"/>
    </row>
    <row r="7" spans="2:21">
      <c r="B7" s="52"/>
      <c r="C7" s="78"/>
      <c r="D7" s="78"/>
      <c r="E7" s="78"/>
      <c r="F7" s="78"/>
      <c r="G7" s="92"/>
      <c r="H7" s="92"/>
      <c r="I7" s="92"/>
      <c r="J7" s="89"/>
      <c r="K7" s="58"/>
      <c r="L7" s="58"/>
      <c r="M7" s="58"/>
      <c r="N7" s="188"/>
    </row>
    <row r="8" spans="2:21" ht="13.5" thickBot="1">
      <c r="B8" s="62" t="s">
        <v>76</v>
      </c>
      <c r="C8" s="105">
        <f t="shared" ref="C8:J8" si="0">C6</f>
        <v>95</v>
      </c>
      <c r="D8" s="63">
        <f t="shared" si="0"/>
        <v>20</v>
      </c>
      <c r="E8" s="63">
        <f t="shared" si="0"/>
        <v>0</v>
      </c>
      <c r="F8" s="63">
        <f t="shared" ref="F8:G8" si="1">F6</f>
        <v>44.622000000000014</v>
      </c>
      <c r="G8" s="63">
        <f t="shared" si="1"/>
        <v>5</v>
      </c>
      <c r="H8" s="63">
        <f t="shared" si="0"/>
        <v>14.500999999999998</v>
      </c>
      <c r="I8" s="63">
        <f t="shared" si="0"/>
        <v>10.876999999999999</v>
      </c>
      <c r="J8" s="65">
        <f t="shared" si="0"/>
        <v>-1.4210854715202004E-14</v>
      </c>
      <c r="K8" s="58"/>
      <c r="L8" s="58"/>
      <c r="M8" s="58"/>
    </row>
    <row r="9" spans="2:21" ht="13">
      <c r="B9" s="199"/>
      <c r="C9" s="190"/>
      <c r="D9" s="191"/>
      <c r="E9" s="192"/>
      <c r="F9" s="192"/>
      <c r="G9" s="192"/>
      <c r="H9" s="192"/>
      <c r="I9" s="192"/>
      <c r="J9" s="200"/>
      <c r="K9" s="58"/>
      <c r="L9" s="58"/>
      <c r="M9" s="58"/>
    </row>
    <row r="10" spans="2:21" ht="13">
      <c r="B10" s="391" t="s">
        <v>77</v>
      </c>
      <c r="C10" s="380"/>
      <c r="D10" s="195"/>
      <c r="E10" s="138">
        <f>D6+E6+H6+I6+F6+G6</f>
        <v>95.000000000000014</v>
      </c>
      <c r="F10" s="138"/>
      <c r="G10" s="138"/>
      <c r="H10" s="138"/>
      <c r="I10" s="138"/>
      <c r="J10" s="200"/>
      <c r="K10" s="58"/>
      <c r="L10" s="58"/>
      <c r="M10" s="58"/>
    </row>
    <row r="11" spans="2:21" ht="13">
      <c r="B11" s="182"/>
      <c r="C11" s="170"/>
      <c r="D11" s="195"/>
      <c r="E11" s="138"/>
      <c r="F11" s="138"/>
      <c r="G11" s="138"/>
      <c r="H11" s="138"/>
      <c r="I11" s="138"/>
      <c r="J11" s="200"/>
      <c r="K11" s="58"/>
      <c r="L11" s="58"/>
      <c r="M11" s="58"/>
    </row>
    <row r="12" spans="2:21" ht="13.5" thickBot="1">
      <c r="B12" s="182"/>
      <c r="C12" s="170"/>
      <c r="D12" s="409" t="s">
        <v>223</v>
      </c>
      <c r="E12" s="409"/>
      <c r="F12" s="220"/>
      <c r="G12" s="220"/>
      <c r="H12" s="412"/>
      <c r="I12" s="412"/>
      <c r="J12" s="200"/>
    </row>
    <row r="13" spans="2:21" ht="13">
      <c r="B13" s="182"/>
      <c r="C13" s="170"/>
      <c r="D13" s="205" t="s">
        <v>197</v>
      </c>
      <c r="E13" s="209" t="s">
        <v>198</v>
      </c>
      <c r="F13" s="221"/>
      <c r="G13" s="221"/>
      <c r="H13" s="344"/>
      <c r="I13" s="300"/>
      <c r="J13" s="200"/>
    </row>
    <row r="14" spans="2:21" ht="13">
      <c r="B14" s="182"/>
      <c r="C14" s="170"/>
      <c r="D14" s="207" t="s">
        <v>163</v>
      </c>
      <c r="E14" s="142">
        <f>'Seplat (Oben)  Allocation'!J8</f>
        <v>50</v>
      </c>
      <c r="F14" s="161"/>
      <c r="G14" s="161"/>
      <c r="H14" s="345"/>
      <c r="I14" s="161"/>
      <c r="J14" s="200"/>
    </row>
    <row r="15" spans="2:21" ht="13">
      <c r="B15" s="182"/>
      <c r="C15" s="170"/>
      <c r="D15" s="207" t="s">
        <v>6</v>
      </c>
      <c r="E15" s="142">
        <f>'CNL Allocation '!M8</f>
        <v>0</v>
      </c>
      <c r="F15" s="161"/>
      <c r="G15" s="161"/>
      <c r="H15" s="346"/>
      <c r="I15" s="161"/>
      <c r="J15" s="200"/>
    </row>
    <row r="16" spans="2:21" ht="13">
      <c r="B16" s="182"/>
      <c r="C16" s="170"/>
      <c r="D16" s="207" t="s">
        <v>48</v>
      </c>
      <c r="E16" s="142">
        <f>'NEPL-Oredo'!G8</f>
        <v>45</v>
      </c>
      <c r="F16" s="161"/>
      <c r="G16" s="161"/>
      <c r="H16" s="346"/>
      <c r="I16" s="161"/>
      <c r="J16" s="200"/>
    </row>
    <row r="17" spans="2:11" ht="13">
      <c r="B17" s="182"/>
      <c r="C17" s="170"/>
      <c r="D17" s="207" t="s">
        <v>224</v>
      </c>
      <c r="E17" s="142">
        <f>'CNL Allocation '!L8</f>
        <v>0</v>
      </c>
      <c r="F17" s="161"/>
      <c r="G17" s="161"/>
      <c r="H17" s="346"/>
      <c r="I17" s="161"/>
      <c r="J17" s="200"/>
    </row>
    <row r="18" spans="2:11" ht="13">
      <c r="B18" s="182"/>
      <c r="C18" s="170"/>
      <c r="D18" s="207" t="s">
        <v>193</v>
      </c>
      <c r="E18" s="142">
        <f>Oceandaire!E14</f>
        <v>0</v>
      </c>
      <c r="F18" s="161"/>
      <c r="G18" s="161"/>
      <c r="H18" s="346"/>
      <c r="I18" s="161"/>
      <c r="J18" s="200"/>
    </row>
    <row r="19" spans="2:11" ht="13">
      <c r="B19" s="182"/>
      <c r="C19" s="170"/>
      <c r="D19" s="207" t="s">
        <v>225</v>
      </c>
      <c r="E19" s="142">
        <f>'CNL Allocation '!I8</f>
        <v>0</v>
      </c>
      <c r="F19" s="161"/>
      <c r="G19" s="161"/>
      <c r="H19" s="346"/>
      <c r="I19" s="161"/>
      <c r="J19" s="200"/>
    </row>
    <row r="20" spans="2:11" ht="13.5" thickBot="1">
      <c r="B20" s="182"/>
      <c r="C20" s="170"/>
      <c r="D20" s="131" t="s">
        <v>157</v>
      </c>
      <c r="E20" s="123">
        <f>SUM(E14:E19)</f>
        <v>95</v>
      </c>
      <c r="F20" s="137"/>
      <c r="G20" s="137"/>
      <c r="H20" s="192"/>
      <c r="I20" s="137"/>
      <c r="J20" s="200"/>
    </row>
    <row r="21" spans="2:11" ht="17.25" customHeight="1" thickBot="1">
      <c r="B21" s="202"/>
      <c r="C21" s="203"/>
      <c r="D21" s="203"/>
      <c r="E21" s="203"/>
      <c r="F21" s="203"/>
      <c r="G21" s="203"/>
      <c r="H21" s="203"/>
      <c r="I21" s="203"/>
      <c r="J21" s="204"/>
      <c r="K21" s="118"/>
    </row>
  </sheetData>
  <mergeCells count="5">
    <mergeCell ref="B2:J2"/>
    <mergeCell ref="R3:S3"/>
    <mergeCell ref="B10:C10"/>
    <mergeCell ref="D12:E12"/>
    <mergeCell ref="H12:I12"/>
  </mergeCells>
  <phoneticPr fontId="7" type="noConversion"/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8"/>
  <sheetViews>
    <sheetView zoomScale="89" zoomScaleNormal="89" workbookViewId="0">
      <selection activeCell="I17" sqref="I17"/>
    </sheetView>
  </sheetViews>
  <sheetFormatPr defaultColWidth="9.1796875" defaultRowHeight="12.5"/>
  <cols>
    <col min="1" max="1" width="3.54296875" style="44" customWidth="1"/>
    <col min="2" max="2" width="12.81640625" style="44" customWidth="1"/>
    <col min="3" max="3" width="14.81640625" style="44" customWidth="1"/>
    <col min="4" max="4" width="20.453125" style="44" customWidth="1"/>
    <col min="5" max="5" width="18.54296875" style="44" customWidth="1"/>
    <col min="6" max="6" width="18.7265625" style="44" customWidth="1"/>
    <col min="7" max="7" width="15.453125" style="44" customWidth="1"/>
    <col min="8" max="8" width="11.7265625" style="44" customWidth="1"/>
    <col min="9" max="10" width="11" style="44" customWidth="1"/>
    <col min="11" max="11" width="10.7265625" style="44" bestFit="1" customWidth="1"/>
    <col min="12" max="12" width="11.7265625" style="44" bestFit="1" customWidth="1"/>
    <col min="13" max="13" width="11.1796875" style="44" customWidth="1"/>
    <col min="14" max="14" width="12.81640625" style="44" customWidth="1"/>
    <col min="15" max="15" width="9.81640625" style="44" customWidth="1"/>
    <col min="16" max="16" width="10.7265625" style="44" customWidth="1"/>
    <col min="17" max="17" width="11.453125" style="44" customWidth="1"/>
    <col min="18" max="18" width="11.1796875" style="44" customWidth="1"/>
    <col min="19" max="19" width="9.54296875" style="44" bestFit="1" customWidth="1"/>
    <col min="20" max="20" width="10.7265625" style="44" bestFit="1" customWidth="1"/>
    <col min="21" max="21" width="11.7265625" style="44" bestFit="1" customWidth="1"/>
    <col min="22" max="22" width="9.54296875" style="44" bestFit="1" customWidth="1"/>
    <col min="23" max="23" width="11.54296875" style="44" customWidth="1"/>
    <col min="24" max="24" width="22.54296875" style="44" customWidth="1"/>
    <col min="25" max="16384" width="9.1796875" style="44"/>
  </cols>
  <sheetData>
    <row r="1" spans="2:23">
      <c r="B1" s="41"/>
      <c r="C1" s="42"/>
      <c r="D1" s="43"/>
    </row>
    <row r="2" spans="2:23" ht="13.5" thickBot="1">
      <c r="B2" s="407" t="s">
        <v>24</v>
      </c>
      <c r="C2" s="407"/>
      <c r="D2" s="407"/>
      <c r="E2" s="407"/>
      <c r="F2" s="407"/>
      <c r="G2" s="407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2:23" s="51" customFormat="1" ht="45.75" customHeight="1" thickTop="1">
      <c r="B3" s="99"/>
      <c r="C3" s="47" t="s">
        <v>192</v>
      </c>
      <c r="D3" s="48" t="s">
        <v>226</v>
      </c>
      <c r="E3" s="48" t="s">
        <v>189</v>
      </c>
      <c r="F3" s="48" t="s">
        <v>227</v>
      </c>
      <c r="G3" s="100" t="s">
        <v>71</v>
      </c>
      <c r="T3" s="377"/>
      <c r="U3" s="378"/>
    </row>
    <row r="4" spans="2:23">
      <c r="B4" s="101" t="s">
        <v>228</v>
      </c>
      <c r="C4" s="139">
        <f>E14</f>
        <v>26.279</v>
      </c>
      <c r="D4" s="80">
        <v>11.778000000000002</v>
      </c>
      <c r="E4" s="80">
        <f>MSN!H6</f>
        <v>14.500999999999998</v>
      </c>
      <c r="F4" s="80">
        <v>0</v>
      </c>
      <c r="G4" s="102">
        <f>C4-D4-E4-F4</f>
        <v>0</v>
      </c>
      <c r="H4" s="58"/>
      <c r="I4" s="58"/>
    </row>
    <row r="5" spans="2:23">
      <c r="B5" s="101" t="s">
        <v>229</v>
      </c>
      <c r="C5" s="139">
        <f>E15</f>
        <v>28.542000000000002</v>
      </c>
      <c r="D5" s="80">
        <v>17.665000000000003</v>
      </c>
      <c r="E5" s="88">
        <f>MSN!I6</f>
        <v>10.876999999999999</v>
      </c>
      <c r="F5" s="88">
        <v>0</v>
      </c>
      <c r="G5" s="102">
        <f>C5-D5-E5-F5</f>
        <v>0</v>
      </c>
      <c r="H5" s="58"/>
      <c r="I5" s="58"/>
    </row>
    <row r="6" spans="2:23">
      <c r="B6" s="101" t="s">
        <v>157</v>
      </c>
      <c r="C6" s="59">
        <f>E16</f>
        <v>54.820999999999998</v>
      </c>
      <c r="D6" s="117">
        <f>SUM(D4:D5)</f>
        <v>29.443000000000005</v>
      </c>
      <c r="E6" s="117">
        <f>SUM(E4:E5)</f>
        <v>25.377999999999997</v>
      </c>
      <c r="F6" s="117">
        <f>SUM(F4:F5)</f>
        <v>0</v>
      </c>
      <c r="G6" s="102">
        <f>C6-D6-E6-F6</f>
        <v>-3.5527136788005009E-15</v>
      </c>
      <c r="I6" s="58"/>
    </row>
    <row r="7" spans="2:23">
      <c r="B7" s="101"/>
      <c r="C7" s="78"/>
      <c r="D7" s="78"/>
      <c r="E7" s="78"/>
      <c r="F7" s="92"/>
      <c r="G7" s="103"/>
      <c r="H7" s="58"/>
      <c r="I7" s="58"/>
    </row>
    <row r="8" spans="2:23" ht="13.5" thickBot="1">
      <c r="B8" s="104" t="s">
        <v>76</v>
      </c>
      <c r="C8" s="105">
        <f>C6</f>
        <v>54.820999999999998</v>
      </c>
      <c r="D8" s="63">
        <f>D6</f>
        <v>29.443000000000005</v>
      </c>
      <c r="E8" s="63">
        <f>E6</f>
        <v>25.377999999999997</v>
      </c>
      <c r="F8" s="63">
        <f>F6</f>
        <v>0</v>
      </c>
      <c r="G8" s="106">
        <f>G6</f>
        <v>-3.5527136788005009E-15</v>
      </c>
      <c r="H8" s="58"/>
      <c r="I8" s="58"/>
    </row>
    <row r="9" spans="2:23" ht="13">
      <c r="B9" s="189"/>
      <c r="C9" s="190"/>
      <c r="D9" s="191"/>
      <c r="E9" s="192"/>
      <c r="F9" s="192"/>
      <c r="G9" s="193"/>
      <c r="I9" s="58"/>
    </row>
    <row r="10" spans="2:23" ht="13">
      <c r="B10" s="379" t="s">
        <v>77</v>
      </c>
      <c r="C10" s="380"/>
      <c r="D10" s="195"/>
      <c r="E10" s="138">
        <f>D6+E6+F6</f>
        <v>54.820999999999998</v>
      </c>
      <c r="F10" s="138"/>
      <c r="G10" s="193"/>
      <c r="I10" s="58"/>
    </row>
    <row r="11" spans="2:23" ht="13">
      <c r="B11" s="194"/>
      <c r="C11" s="170"/>
      <c r="D11" s="195"/>
      <c r="E11" s="138"/>
      <c r="F11" s="138"/>
      <c r="G11" s="193"/>
      <c r="I11" s="58"/>
    </row>
    <row r="12" spans="2:23" ht="13.5" thickBot="1">
      <c r="B12" s="194"/>
      <c r="C12" s="170"/>
      <c r="D12" s="409" t="s">
        <v>230</v>
      </c>
      <c r="E12" s="409"/>
      <c r="F12" s="138"/>
      <c r="G12" s="193"/>
    </row>
    <row r="13" spans="2:23" ht="13">
      <c r="B13" s="194"/>
      <c r="C13" s="170"/>
      <c r="D13" s="205" t="s">
        <v>191</v>
      </c>
      <c r="E13" s="209" t="s">
        <v>192</v>
      </c>
      <c r="F13" s="138"/>
      <c r="G13" s="193"/>
    </row>
    <row r="14" spans="2:23" ht="13">
      <c r="B14" s="194"/>
      <c r="C14" s="170"/>
      <c r="D14" s="207" t="s">
        <v>228</v>
      </c>
      <c r="E14" s="142">
        <f>West_Summary!C20</f>
        <v>26.279</v>
      </c>
      <c r="F14" s="138"/>
      <c r="G14" s="193"/>
      <c r="I14" s="58"/>
    </row>
    <row r="15" spans="2:23" ht="13">
      <c r="B15" s="194"/>
      <c r="C15" s="170"/>
      <c r="D15" s="207" t="s">
        <v>229</v>
      </c>
      <c r="E15" s="142">
        <f>West_Summary!C19</f>
        <v>28.542000000000002</v>
      </c>
      <c r="F15" s="138"/>
      <c r="G15" s="193"/>
      <c r="I15" s="58"/>
    </row>
    <row r="16" spans="2:23" ht="13.5" thickBot="1">
      <c r="B16" s="194"/>
      <c r="C16" s="170"/>
      <c r="D16" s="131" t="s">
        <v>157</v>
      </c>
      <c r="E16" s="123">
        <f>SUM(E14:E15)</f>
        <v>54.820999999999998</v>
      </c>
      <c r="F16" s="138"/>
      <c r="G16" s="193"/>
    </row>
    <row r="17" spans="2:11" ht="17.25" customHeight="1" thickBot="1">
      <c r="B17" s="196"/>
      <c r="C17" s="197"/>
      <c r="D17" s="197"/>
      <c r="E17" s="197"/>
      <c r="F17" s="197"/>
      <c r="G17" s="198"/>
      <c r="H17" s="118"/>
      <c r="I17" s="118"/>
      <c r="J17" s="118"/>
      <c r="K17" s="118"/>
    </row>
    <row r="18" spans="2:11" ht="13" thickTop="1"/>
  </sheetData>
  <mergeCells count="4">
    <mergeCell ref="B2:G2"/>
    <mergeCell ref="T3:U3"/>
    <mergeCell ref="B10:C10"/>
    <mergeCell ref="D12:E12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B1:N15"/>
  <sheetViews>
    <sheetView zoomScale="90" zoomScaleNormal="90" workbookViewId="0">
      <selection activeCell="E19" sqref="E19"/>
    </sheetView>
  </sheetViews>
  <sheetFormatPr defaultColWidth="9.1796875" defaultRowHeight="12.5"/>
  <cols>
    <col min="1" max="1" width="3.81640625" style="44" customWidth="1"/>
    <col min="2" max="2" width="18.7265625" style="44" customWidth="1"/>
    <col min="3" max="3" width="12.54296875" style="152" customWidth="1"/>
    <col min="4" max="4" width="12.1796875" style="44" bestFit="1" customWidth="1"/>
    <col min="5" max="5" width="12.453125" style="44" customWidth="1"/>
    <col min="6" max="6" width="14.1796875" style="44" customWidth="1"/>
    <col min="7" max="7" width="13.81640625" style="44" customWidth="1"/>
    <col min="8" max="8" width="9.54296875" style="44" customWidth="1"/>
    <col min="9" max="9" width="16.453125" style="44" bestFit="1" customWidth="1"/>
    <col min="10" max="10" width="11" style="44" bestFit="1" customWidth="1"/>
    <col min="11" max="11" width="9.453125" style="44" customWidth="1"/>
    <col min="12" max="12" width="9.1796875" style="44" customWidth="1"/>
    <col min="13" max="13" width="9.7265625" style="44" bestFit="1" customWidth="1"/>
    <col min="14" max="14" width="11.54296875" style="44" customWidth="1"/>
    <col min="15" max="15" width="22.54296875" style="44" customWidth="1"/>
    <col min="16" max="16384" width="9.1796875" style="44"/>
  </cols>
  <sheetData>
    <row r="1" spans="2:14" ht="13" thickBot="1">
      <c r="B1" s="41"/>
      <c r="C1" s="149"/>
      <c r="D1" s="43"/>
      <c r="E1" s="43"/>
    </row>
    <row r="2" spans="2:14" ht="13.5" thickBot="1">
      <c r="B2" s="374" t="s">
        <v>231</v>
      </c>
      <c r="C2" s="375"/>
      <c r="D2" s="375"/>
      <c r="E2" s="375"/>
      <c r="F2" s="375"/>
      <c r="G2" s="375"/>
      <c r="H2" s="376"/>
      <c r="I2" s="306"/>
      <c r="J2" s="45"/>
      <c r="K2" s="45"/>
      <c r="L2" s="45"/>
      <c r="M2" s="45"/>
      <c r="N2" s="45"/>
    </row>
    <row r="3" spans="2:14" s="51" customFormat="1" ht="45.75" customHeight="1">
      <c r="B3" s="81"/>
      <c r="C3" s="297" t="s">
        <v>232</v>
      </c>
      <c r="D3" s="83" t="s">
        <v>177</v>
      </c>
      <c r="E3" s="83" t="s">
        <v>233</v>
      </c>
      <c r="F3" s="83" t="s">
        <v>234</v>
      </c>
      <c r="G3" s="83" t="s">
        <v>178</v>
      </c>
      <c r="H3" s="84" t="s">
        <v>71</v>
      </c>
      <c r="J3" s="377"/>
      <c r="K3" s="378"/>
    </row>
    <row r="4" spans="2:14">
      <c r="B4" s="52" t="s">
        <v>91</v>
      </c>
      <c r="C4" s="150"/>
      <c r="D4" s="54">
        <f>'CNL Allocation '!G4</f>
        <v>25</v>
      </c>
      <c r="E4" s="54">
        <f>SPDC!D4</f>
        <v>60</v>
      </c>
      <c r="F4" s="54">
        <f>'NEPL-Oredo'!E4</f>
        <v>10</v>
      </c>
      <c r="G4" s="54">
        <f>'NPDC JV ALLOCATION'!I4</f>
        <v>5</v>
      </c>
      <c r="H4" s="179"/>
    </row>
    <row r="5" spans="2:14">
      <c r="B5" s="52" t="s">
        <v>92</v>
      </c>
      <c r="C5" s="150"/>
      <c r="D5" s="54">
        <f>'CNL Allocation '!G5</f>
        <v>25</v>
      </c>
      <c r="E5" s="54">
        <f>SPDC!D5</f>
        <v>60</v>
      </c>
      <c r="F5" s="54">
        <v>10</v>
      </c>
      <c r="G5" s="54">
        <f>'NPDC JV ALLOCATION'!I5</f>
        <v>5</v>
      </c>
      <c r="H5" s="179"/>
    </row>
    <row r="6" spans="2:14">
      <c r="B6" s="52" t="s">
        <v>93</v>
      </c>
      <c r="C6" s="139">
        <v>96.3</v>
      </c>
      <c r="D6" s="117">
        <f>'CNL Allocation '!G8</f>
        <v>25</v>
      </c>
      <c r="E6" s="117">
        <f>SPDC!D8</f>
        <v>60</v>
      </c>
      <c r="F6" s="88">
        <f>'NEPL-Oredo'!E8</f>
        <v>10</v>
      </c>
      <c r="G6" s="88">
        <f>'NPDC JV ALLOCATION'!I8</f>
        <v>5</v>
      </c>
      <c r="H6" s="179">
        <f>-C6+SUM(D6:G6)</f>
        <v>3.7000000000000028</v>
      </c>
      <c r="I6" s="58"/>
      <c r="J6" s="58"/>
    </row>
    <row r="7" spans="2:14">
      <c r="B7" s="52"/>
      <c r="C7" s="150"/>
      <c r="D7" s="78"/>
      <c r="E7" s="78"/>
      <c r="F7" s="78"/>
      <c r="G7" s="88"/>
      <c r="H7" s="89"/>
      <c r="I7" s="58"/>
      <c r="J7" s="58"/>
    </row>
    <row r="8" spans="2:14" ht="13.5" thickBot="1">
      <c r="B8" s="62" t="s">
        <v>76</v>
      </c>
      <c r="C8" s="151">
        <f t="shared" ref="C8:H8" si="0">C6</f>
        <v>96.3</v>
      </c>
      <c r="D8" s="63">
        <f t="shared" si="0"/>
        <v>25</v>
      </c>
      <c r="E8" s="63">
        <f t="shared" si="0"/>
        <v>60</v>
      </c>
      <c r="F8" s="63">
        <f t="shared" si="0"/>
        <v>10</v>
      </c>
      <c r="G8" s="63">
        <f t="shared" si="0"/>
        <v>5</v>
      </c>
      <c r="H8" s="65">
        <f t="shared" si="0"/>
        <v>3.7000000000000028</v>
      </c>
      <c r="I8" s="58"/>
      <c r="J8" s="58"/>
    </row>
    <row r="9" spans="2:14" ht="13">
      <c r="B9" s="199"/>
      <c r="C9" s="307"/>
      <c r="D9" s="191"/>
      <c r="E9" s="191"/>
      <c r="F9" s="191"/>
      <c r="G9" s="191"/>
      <c r="H9" s="200"/>
      <c r="I9" s="108"/>
      <c r="J9" s="58"/>
      <c r="K9" s="58"/>
    </row>
    <row r="10" spans="2:14" ht="13">
      <c r="B10" s="199"/>
      <c r="C10" s="307"/>
      <c r="D10" s="191"/>
      <c r="E10" s="191"/>
      <c r="F10" s="192"/>
      <c r="G10" s="192"/>
      <c r="H10" s="308"/>
      <c r="I10" s="108"/>
      <c r="J10" s="58"/>
      <c r="K10" s="58"/>
      <c r="L10" s="58"/>
      <c r="M10" s="58"/>
      <c r="N10" s="58"/>
    </row>
    <row r="11" spans="2:14" ht="13">
      <c r="B11" s="391" t="s">
        <v>77</v>
      </c>
      <c r="C11" s="380"/>
      <c r="D11" s="195"/>
      <c r="E11" s="195"/>
      <c r="F11" s="138">
        <f>D6+F6+G6+E6</f>
        <v>100</v>
      </c>
      <c r="G11" s="138"/>
      <c r="H11" s="309"/>
      <c r="I11" s="108"/>
      <c r="J11" s="58"/>
    </row>
    <row r="12" spans="2:14" ht="17.25" customHeight="1" thickBot="1">
      <c r="B12" s="202"/>
      <c r="C12" s="311"/>
      <c r="D12" s="203"/>
      <c r="E12" s="203"/>
      <c r="F12" s="203"/>
      <c r="G12" s="203"/>
      <c r="H12" s="204"/>
      <c r="I12" s="296"/>
    </row>
    <row r="15" spans="2:14">
      <c r="D15" s="58"/>
    </row>
  </sheetData>
  <mergeCells count="3">
    <mergeCell ref="J3:K3"/>
    <mergeCell ref="B11:C11"/>
    <mergeCell ref="B2:H2"/>
  </mergeCells>
  <phoneticPr fontId="7" type="noConversion"/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8"/>
  <sheetViews>
    <sheetView zoomScale="92" zoomScaleNormal="92" workbookViewId="0">
      <selection activeCell="H16" sqref="H16"/>
    </sheetView>
  </sheetViews>
  <sheetFormatPr defaultColWidth="9.1796875" defaultRowHeight="14"/>
  <cols>
    <col min="1" max="1" width="3.81640625" style="1" customWidth="1"/>
    <col min="2" max="2" width="20.1796875" style="1" bestFit="1" customWidth="1"/>
    <col min="3" max="3" width="17.1796875" style="270" bestFit="1" customWidth="1"/>
    <col min="4" max="4" width="17.1796875" style="273" bestFit="1" customWidth="1"/>
    <col min="5" max="5" width="18.453125" style="144" bestFit="1" customWidth="1"/>
    <col min="6" max="6" width="19.81640625" style="1" bestFit="1" customWidth="1"/>
    <col min="7" max="7" width="9.26953125" style="1" customWidth="1"/>
    <col min="8" max="8" width="9.54296875" style="1" bestFit="1" customWidth="1"/>
    <col min="9" max="9" width="5.7265625" style="1" customWidth="1"/>
    <col min="10" max="10" width="10.54296875" style="1" bestFit="1" customWidth="1"/>
    <col min="11" max="11" width="5.7265625" style="1" customWidth="1"/>
    <col min="12" max="12" width="16.1796875" style="1" bestFit="1" customWidth="1"/>
    <col min="13" max="26" width="5.7265625" style="1" customWidth="1"/>
    <col min="27" max="16384" width="9.1796875" style="1"/>
  </cols>
  <sheetData>
    <row r="1" spans="2:16">
      <c r="B1" s="365" t="s">
        <v>235</v>
      </c>
      <c r="C1" s="365"/>
      <c r="D1" s="365"/>
      <c r="E1" s="365"/>
      <c r="F1" s="365"/>
      <c r="G1" s="2"/>
    </row>
    <row r="2" spans="2:16" ht="14.5" thickBot="1"/>
    <row r="3" spans="2:16" ht="28.5" thickBot="1">
      <c r="B3" s="3" t="s">
        <v>1</v>
      </c>
      <c r="C3" s="271" t="s">
        <v>236</v>
      </c>
      <c r="D3" s="271" t="s">
        <v>3</v>
      </c>
      <c r="E3" s="146" t="s">
        <v>4</v>
      </c>
      <c r="F3" s="4" t="s">
        <v>5</v>
      </c>
    </row>
    <row r="4" spans="2:16">
      <c r="B4" s="5" t="s">
        <v>237</v>
      </c>
      <c r="C4" s="276"/>
      <c r="D4" s="277">
        <f>Accugas!F11</f>
        <v>0</v>
      </c>
      <c r="E4" s="157">
        <f>C4-D4</f>
        <v>0</v>
      </c>
      <c r="F4" s="349" t="e">
        <f>D4/C4</f>
        <v>#DIV/0!</v>
      </c>
      <c r="G4" s="350"/>
      <c r="H4" s="26"/>
      <c r="J4" s="322"/>
      <c r="L4" s="322"/>
      <c r="N4" s="322"/>
      <c r="P4" s="363"/>
    </row>
    <row r="5" spans="2:16">
      <c r="B5" s="7" t="s">
        <v>238</v>
      </c>
      <c r="C5" s="278"/>
      <c r="D5" s="281">
        <f>HHOG!F11</f>
        <v>242.86573865000003</v>
      </c>
      <c r="E5" s="153">
        <f>C5-D5</f>
        <v>-242.86573865000003</v>
      </c>
      <c r="F5" s="351" t="e">
        <f>D5/C5</f>
        <v>#DIV/0!</v>
      </c>
      <c r="G5" s="350"/>
      <c r="H5" s="26"/>
      <c r="J5" s="322"/>
      <c r="L5" s="322"/>
      <c r="N5" s="322"/>
      <c r="P5" s="363"/>
    </row>
    <row r="6" spans="2:16">
      <c r="B6" s="7" t="s">
        <v>239</v>
      </c>
      <c r="C6" s="278"/>
      <c r="D6" s="281">
        <f>NEOL!E11</f>
        <v>690.48617799809085</v>
      </c>
      <c r="E6" s="153">
        <f t="shared" ref="E6" si="0">C6-D6</f>
        <v>-690.48617799809085</v>
      </c>
      <c r="F6" s="351" t="e">
        <f>D6/C6</f>
        <v>#DIV/0!</v>
      </c>
      <c r="G6" s="350"/>
      <c r="H6" s="26"/>
      <c r="K6" s="322"/>
      <c r="M6" s="322"/>
      <c r="O6" s="322"/>
    </row>
    <row r="7" spans="2:16">
      <c r="B7" s="9" t="s">
        <v>240</v>
      </c>
      <c r="C7" s="319"/>
      <c r="D7" s="282"/>
      <c r="E7" s="153"/>
      <c r="F7" s="8"/>
      <c r="G7" s="350"/>
      <c r="K7" s="322"/>
      <c r="M7" s="322"/>
      <c r="O7" s="322"/>
    </row>
    <row r="8" spans="2:16">
      <c r="B8" s="9" t="s">
        <v>241</v>
      </c>
      <c r="C8" s="319"/>
      <c r="D8" s="282"/>
      <c r="E8" s="153"/>
      <c r="F8" s="8"/>
      <c r="G8" s="350"/>
      <c r="K8" s="322"/>
      <c r="M8" s="322"/>
      <c r="O8" s="322"/>
    </row>
    <row r="9" spans="2:16" ht="14.5" thickBot="1">
      <c r="B9" s="9"/>
      <c r="C9" s="303"/>
      <c r="D9" s="282"/>
      <c r="E9" s="153"/>
      <c r="F9" s="8"/>
      <c r="G9" s="350"/>
      <c r="K9" s="322"/>
      <c r="M9" s="322"/>
      <c r="O9" s="322"/>
    </row>
    <row r="10" spans="2:16" ht="14.5" thickBot="1">
      <c r="B10" s="11" t="s">
        <v>17</v>
      </c>
      <c r="C10" s="291">
        <f>SUM(C4:C9)</f>
        <v>0</v>
      </c>
      <c r="D10" s="284">
        <f>SUM(D4:D9)</f>
        <v>933.35191664809088</v>
      </c>
      <c r="E10" s="155">
        <f>SUM(E4:E9)</f>
        <v>-933.35191664809088</v>
      </c>
      <c r="F10" s="352" t="e">
        <f>D10/C10</f>
        <v>#DIV/0!</v>
      </c>
      <c r="G10" s="26"/>
      <c r="H10" s="26"/>
    </row>
    <row r="11" spans="2:16" ht="14.5" thickBot="1">
      <c r="F11" s="249"/>
      <c r="H11" s="26"/>
    </row>
    <row r="12" spans="2:16" ht="14.5" thickBot="1">
      <c r="B12" s="13" t="s">
        <v>18</v>
      </c>
      <c r="C12" s="272" t="s">
        <v>19</v>
      </c>
      <c r="D12" s="274" t="s">
        <v>20</v>
      </c>
      <c r="E12" s="147" t="s">
        <v>21</v>
      </c>
      <c r="F12" s="14" t="s">
        <v>5</v>
      </c>
    </row>
    <row r="13" spans="2:16">
      <c r="B13" s="5" t="s">
        <v>242</v>
      </c>
      <c r="C13" s="276"/>
      <c r="D13" s="277">
        <f t="shared" ref="D13:D19" si="1">C13</f>
        <v>0</v>
      </c>
      <c r="E13" s="156">
        <f>-(C13-D13)</f>
        <v>0</v>
      </c>
      <c r="F13" s="15"/>
    </row>
    <row r="14" spans="2:16">
      <c r="B14" s="5" t="s">
        <v>243</v>
      </c>
      <c r="C14" s="276"/>
      <c r="D14" s="277">
        <f t="shared" si="1"/>
        <v>0</v>
      </c>
      <c r="E14" s="156"/>
      <c r="F14" s="295"/>
    </row>
    <row r="15" spans="2:16" ht="15" customHeight="1">
      <c r="B15" s="7" t="s">
        <v>244</v>
      </c>
      <c r="C15" s="278"/>
      <c r="D15" s="277">
        <f t="shared" si="1"/>
        <v>0</v>
      </c>
      <c r="E15" s="153">
        <f>C15-D15</f>
        <v>0</v>
      </c>
      <c r="F15" s="16"/>
      <c r="G15" s="17"/>
      <c r="H15" s="26"/>
    </row>
    <row r="16" spans="2:16" ht="15" customHeight="1">
      <c r="B16" s="7" t="s">
        <v>245</v>
      </c>
      <c r="C16" s="278"/>
      <c r="D16" s="277">
        <f t="shared" si="1"/>
        <v>0</v>
      </c>
      <c r="E16" s="153"/>
      <c r="F16" s="16"/>
      <c r="G16" s="17"/>
      <c r="H16" s="26"/>
    </row>
    <row r="17" spans="2:10" ht="15" customHeight="1">
      <c r="B17" s="7" t="s">
        <v>246</v>
      </c>
      <c r="C17" s="278"/>
      <c r="D17" s="277">
        <f t="shared" si="1"/>
        <v>0</v>
      </c>
      <c r="E17" s="153"/>
      <c r="F17" s="16"/>
      <c r="G17" s="17"/>
      <c r="H17" s="26"/>
    </row>
    <row r="18" spans="2:10">
      <c r="B18" s="7" t="s">
        <v>247</v>
      </c>
      <c r="C18" s="278"/>
      <c r="D18" s="277">
        <f t="shared" si="1"/>
        <v>0</v>
      </c>
      <c r="E18" s="153">
        <f>C18-D18</f>
        <v>0</v>
      </c>
      <c r="F18" s="16"/>
      <c r="G18" s="17"/>
      <c r="H18" s="26"/>
    </row>
    <row r="19" spans="2:10">
      <c r="B19" s="7" t="s">
        <v>156</v>
      </c>
      <c r="C19" s="278"/>
      <c r="D19" s="279">
        <f t="shared" si="1"/>
        <v>0</v>
      </c>
      <c r="E19" s="153">
        <f t="shared" ref="E19:E21" si="2">C19-D19</f>
        <v>0</v>
      </c>
      <c r="F19" s="16"/>
    </row>
    <row r="20" spans="2:10" ht="15" customHeight="1">
      <c r="B20" s="7" t="s">
        <v>248</v>
      </c>
      <c r="C20" s="278"/>
      <c r="D20" s="277"/>
      <c r="E20" s="153">
        <f t="shared" si="2"/>
        <v>0</v>
      </c>
      <c r="F20" s="16"/>
      <c r="J20" s="317"/>
    </row>
    <row r="21" spans="2:10" ht="14.5" thickBot="1">
      <c r="B21" s="7"/>
      <c r="C21" s="318"/>
      <c r="D21" s="277"/>
      <c r="E21" s="157">
        <f t="shared" si="2"/>
        <v>0</v>
      </c>
      <c r="F21" s="16"/>
      <c r="H21" s="26"/>
    </row>
    <row r="22" spans="2:10" ht="14.5" thickBot="1">
      <c r="B22" s="21" t="s">
        <v>17</v>
      </c>
      <c r="C22" s="289">
        <f>SUM(C13:C21)</f>
        <v>0</v>
      </c>
      <c r="D22" s="290">
        <f>SUM(D13:D21)</f>
        <v>0</v>
      </c>
      <c r="E22" s="158">
        <f>SUM(E13:E21)</f>
        <v>0</v>
      </c>
      <c r="F22" s="22"/>
    </row>
    <row r="24" spans="2:10">
      <c r="D24" s="275"/>
      <c r="E24" s="145"/>
      <c r="F24" s="17"/>
    </row>
    <row r="26" spans="2:10">
      <c r="B26" s="26"/>
    </row>
    <row r="27" spans="2:10">
      <c r="B27" s="26"/>
    </row>
    <row r="28" spans="2:10">
      <c r="B28" s="26"/>
    </row>
  </sheetData>
  <mergeCells count="2">
    <mergeCell ref="B1:F1"/>
    <mergeCell ref="P4:P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2"/>
  <sheetViews>
    <sheetView zoomScale="89" zoomScaleNormal="89" workbookViewId="0">
      <selection activeCell="F23" sqref="F22:F23"/>
    </sheetView>
  </sheetViews>
  <sheetFormatPr defaultColWidth="9.1796875" defaultRowHeight="12.5"/>
  <cols>
    <col min="1" max="1" width="3.54296875" style="44" customWidth="1"/>
    <col min="2" max="2" width="18.7265625" style="44" customWidth="1"/>
    <col min="3" max="3" width="19.26953125" style="44" customWidth="1"/>
    <col min="4" max="5" width="13.1796875" style="44" customWidth="1"/>
    <col min="6" max="6" width="13.81640625" style="44" bestFit="1" customWidth="1"/>
    <col min="7" max="7" width="14.81640625" style="44" customWidth="1"/>
    <col min="8" max="8" width="13.1796875" style="44" bestFit="1" customWidth="1"/>
    <col min="9" max="9" width="11.7265625" style="44" customWidth="1"/>
    <col min="10" max="10" width="9.81640625" style="44" customWidth="1"/>
    <col min="11" max="11" width="10.7265625" style="44" customWidth="1"/>
    <col min="12" max="12" width="11.453125" style="44" customWidth="1"/>
    <col min="13" max="13" width="11.1796875" style="44" customWidth="1"/>
    <col min="14" max="14" width="9.54296875" style="44" bestFit="1" customWidth="1"/>
    <col min="15" max="15" width="10.7265625" style="44" bestFit="1" customWidth="1"/>
    <col min="16" max="16" width="11.7265625" style="44" bestFit="1" customWidth="1"/>
    <col min="17" max="17" width="9.54296875" style="44" bestFit="1" customWidth="1"/>
    <col min="18" max="18" width="11.54296875" style="44" customWidth="1"/>
    <col min="19" max="19" width="22.54296875" style="44" customWidth="1"/>
    <col min="20" max="16384" width="9.1796875" style="44"/>
  </cols>
  <sheetData>
    <row r="1" spans="2:18" ht="13" thickBot="1">
      <c r="B1" s="41"/>
      <c r="C1" s="42"/>
      <c r="D1" s="43"/>
      <c r="E1" s="43"/>
    </row>
    <row r="2" spans="2:18" ht="13.5" thickBot="1">
      <c r="B2" s="374" t="s">
        <v>237</v>
      </c>
      <c r="C2" s="375"/>
      <c r="D2" s="375"/>
      <c r="E2" s="375"/>
      <c r="F2" s="375"/>
      <c r="G2" s="375"/>
      <c r="H2" s="376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2:18" s="51" customFormat="1" ht="45.75" customHeight="1">
      <c r="B3" s="177"/>
      <c r="C3" s="174" t="s">
        <v>249</v>
      </c>
      <c r="D3" s="175" t="s">
        <v>250</v>
      </c>
      <c r="E3" s="175" t="s">
        <v>251</v>
      </c>
      <c r="F3" s="175" t="s">
        <v>252</v>
      </c>
      <c r="G3" s="175" t="s">
        <v>253</v>
      </c>
      <c r="H3" s="178" t="s">
        <v>112</v>
      </c>
      <c r="O3" s="377"/>
      <c r="P3" s="378"/>
    </row>
    <row r="4" spans="2:18">
      <c r="B4" s="52" t="s">
        <v>72</v>
      </c>
      <c r="C4" s="78"/>
      <c r="D4" s="129"/>
      <c r="E4" s="129"/>
      <c r="F4" s="129"/>
      <c r="G4" s="80"/>
      <c r="H4" s="179"/>
    </row>
    <row r="5" spans="2:18">
      <c r="B5" s="52" t="s">
        <v>73</v>
      </c>
      <c r="C5" s="78"/>
      <c r="D5" s="90">
        <v>30</v>
      </c>
      <c r="E5" s="90">
        <v>30</v>
      </c>
      <c r="F5" s="90">
        <v>30</v>
      </c>
      <c r="G5" s="88"/>
      <c r="H5" s="179"/>
    </row>
    <row r="6" spans="2:18">
      <c r="B6" s="52" t="s">
        <v>74</v>
      </c>
      <c r="C6" s="78"/>
      <c r="D6" s="88">
        <f>D4*D5</f>
        <v>0</v>
      </c>
      <c r="E6" s="88"/>
      <c r="F6" s="88"/>
      <c r="G6" s="88"/>
      <c r="H6" s="179"/>
    </row>
    <row r="7" spans="2:18">
      <c r="B7" s="52" t="s">
        <v>75</v>
      </c>
      <c r="C7" s="58">
        <f>East_Summary!C4</f>
        <v>0</v>
      </c>
      <c r="D7" s="117"/>
      <c r="E7" s="117"/>
      <c r="F7" s="117"/>
      <c r="G7" s="88"/>
      <c r="H7" s="179">
        <f>C7-D7-E7-F7</f>
        <v>0</v>
      </c>
    </row>
    <row r="8" spans="2:18">
      <c r="B8" s="52"/>
      <c r="C8" s="78"/>
      <c r="D8" s="78"/>
      <c r="E8" s="78"/>
      <c r="F8" s="78"/>
      <c r="G8" s="78"/>
      <c r="H8" s="89"/>
    </row>
    <row r="9" spans="2:18" ht="13.5" thickBot="1">
      <c r="B9" s="62" t="s">
        <v>76</v>
      </c>
      <c r="C9" s="105">
        <f t="shared" ref="C9:H9" si="0">C7</f>
        <v>0</v>
      </c>
      <c r="D9" s="63">
        <f t="shared" si="0"/>
        <v>0</v>
      </c>
      <c r="E9" s="63">
        <f t="shared" si="0"/>
        <v>0</v>
      </c>
      <c r="F9" s="63">
        <f t="shared" si="0"/>
        <v>0</v>
      </c>
      <c r="G9" s="63">
        <f t="shared" si="0"/>
        <v>0</v>
      </c>
      <c r="H9" s="65">
        <f t="shared" si="0"/>
        <v>0</v>
      </c>
    </row>
    <row r="10" spans="2:18" ht="13">
      <c r="B10" s="199"/>
      <c r="C10" s="190"/>
      <c r="D10" s="191"/>
      <c r="E10" s="191"/>
      <c r="F10" s="192"/>
      <c r="G10" s="192"/>
      <c r="H10" s="200"/>
    </row>
    <row r="11" spans="2:18" ht="13">
      <c r="B11" s="391" t="s">
        <v>77</v>
      </c>
      <c r="C11" s="380"/>
      <c r="D11" s="195"/>
      <c r="E11" s="195"/>
      <c r="F11" s="138">
        <f>D9+F9+G9+E9</f>
        <v>0</v>
      </c>
      <c r="G11" s="138"/>
      <c r="H11" s="200"/>
    </row>
    <row r="12" spans="2:18" ht="17.25" customHeight="1" thickBot="1">
      <c r="B12" s="202"/>
      <c r="C12" s="203"/>
      <c r="D12" s="203"/>
      <c r="E12" s="203"/>
      <c r="F12" s="203"/>
      <c r="G12" s="203"/>
      <c r="H12" s="204"/>
      <c r="I12" s="118"/>
    </row>
  </sheetData>
  <mergeCells count="3">
    <mergeCell ref="B2:H2"/>
    <mergeCell ref="O3:P3"/>
    <mergeCell ref="B11:C11"/>
  </mergeCells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2"/>
  <sheetViews>
    <sheetView zoomScale="89" zoomScaleNormal="89" workbookViewId="0">
      <selection activeCell="F23" sqref="F23"/>
    </sheetView>
  </sheetViews>
  <sheetFormatPr defaultColWidth="9.1796875" defaultRowHeight="12.5"/>
  <cols>
    <col min="1" max="1" width="3.54296875" style="44" customWidth="1"/>
    <col min="2" max="2" width="18.7265625" style="44" customWidth="1"/>
    <col min="3" max="3" width="19.26953125" style="44" customWidth="1"/>
    <col min="4" max="5" width="13.1796875" style="44" customWidth="1"/>
    <col min="6" max="6" width="13.81640625" style="44" bestFit="1" customWidth="1"/>
    <col min="7" max="7" width="14.81640625" style="44" customWidth="1"/>
    <col min="8" max="8" width="13.1796875" style="44" bestFit="1" customWidth="1"/>
    <col min="9" max="9" width="11.7265625" style="44" customWidth="1"/>
    <col min="10" max="10" width="11.7265625" style="44" bestFit="1" customWidth="1"/>
    <col min="11" max="11" width="12.453125" style="44" customWidth="1"/>
    <col min="12" max="12" width="11.81640625" style="44" customWidth="1"/>
    <col min="13" max="13" width="9.81640625" style="44" customWidth="1"/>
    <col min="14" max="14" width="10.7265625" style="44" customWidth="1"/>
    <col min="15" max="15" width="11.453125" style="44" customWidth="1"/>
    <col min="16" max="16" width="11.1796875" style="44" customWidth="1"/>
    <col min="17" max="17" width="9.54296875" style="44" bestFit="1" customWidth="1"/>
    <col min="18" max="18" width="10.7265625" style="44" bestFit="1" customWidth="1"/>
    <col min="19" max="19" width="11.7265625" style="44" bestFit="1" customWidth="1"/>
    <col min="20" max="20" width="9.54296875" style="44" bestFit="1" customWidth="1"/>
    <col min="21" max="21" width="11.54296875" style="44" customWidth="1"/>
    <col min="22" max="22" width="22.54296875" style="44" customWidth="1"/>
    <col min="23" max="16384" width="9.1796875" style="44"/>
  </cols>
  <sheetData>
    <row r="1" spans="2:21" ht="13" thickBot="1">
      <c r="B1" s="41"/>
      <c r="C1" s="42"/>
      <c r="D1" s="43"/>
      <c r="E1" s="43"/>
    </row>
    <row r="2" spans="2:21" ht="13.5" thickBot="1">
      <c r="B2" s="374" t="s">
        <v>254</v>
      </c>
      <c r="C2" s="375"/>
      <c r="D2" s="375"/>
      <c r="E2" s="375"/>
      <c r="F2" s="375"/>
      <c r="G2" s="375"/>
      <c r="H2" s="376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</row>
    <row r="3" spans="2:21" s="51" customFormat="1" ht="45.75" customHeight="1">
      <c r="B3" s="177"/>
      <c r="C3" s="174" t="s">
        <v>255</v>
      </c>
      <c r="D3" s="175" t="s">
        <v>83</v>
      </c>
      <c r="E3" s="175" t="s">
        <v>256</v>
      </c>
      <c r="F3" s="175" t="s">
        <v>257</v>
      </c>
      <c r="G3" s="175" t="s">
        <v>253</v>
      </c>
      <c r="H3" s="178" t="s">
        <v>112</v>
      </c>
      <c r="R3" s="377"/>
      <c r="S3" s="378"/>
    </row>
    <row r="4" spans="2:21">
      <c r="B4" s="52" t="s">
        <v>72</v>
      </c>
      <c r="C4" s="78"/>
      <c r="D4" s="129">
        <v>2</v>
      </c>
      <c r="E4" s="129">
        <v>36</v>
      </c>
      <c r="F4" s="129"/>
      <c r="G4" s="80"/>
      <c r="H4" s="179"/>
    </row>
    <row r="5" spans="2:21">
      <c r="B5" s="52" t="s">
        <v>73</v>
      </c>
      <c r="C5" s="78"/>
      <c r="D5" s="90">
        <v>30</v>
      </c>
      <c r="E5" s="90">
        <v>30</v>
      </c>
      <c r="F5" s="90">
        <v>30</v>
      </c>
      <c r="G5" s="88"/>
      <c r="H5" s="179"/>
      <c r="J5" s="124"/>
    </row>
    <row r="6" spans="2:21">
      <c r="B6" s="52" t="s">
        <v>74</v>
      </c>
      <c r="C6" s="78"/>
      <c r="D6" s="88">
        <f>D4*D5</f>
        <v>60</v>
      </c>
      <c r="E6" s="88">
        <f>E4*E5</f>
        <v>1080</v>
      </c>
      <c r="F6" s="88"/>
      <c r="G6" s="88"/>
      <c r="H6" s="179"/>
    </row>
    <row r="7" spans="2:21">
      <c r="B7" s="52" t="s">
        <v>75</v>
      </c>
      <c r="C7" s="353">
        <f>East_Summary!C5</f>
        <v>0</v>
      </c>
      <c r="D7" s="117">
        <v>59.167638650000001</v>
      </c>
      <c r="E7" s="117">
        <v>183.69810000000001</v>
      </c>
      <c r="F7" s="117">
        <v>0</v>
      </c>
      <c r="G7" s="88"/>
      <c r="H7" s="179">
        <f>C7-D7-E7-F7</f>
        <v>-242.86573865000003</v>
      </c>
      <c r="K7" s="58"/>
    </row>
    <row r="8" spans="2:21">
      <c r="B8" s="52"/>
      <c r="C8" s="78"/>
      <c r="D8" s="78"/>
      <c r="E8" s="78"/>
      <c r="F8" s="78"/>
      <c r="G8" s="78"/>
      <c r="H8" s="89"/>
      <c r="J8" s="58"/>
    </row>
    <row r="9" spans="2:21" ht="13.5" thickBot="1">
      <c r="B9" s="62" t="s">
        <v>76</v>
      </c>
      <c r="C9" s="354">
        <f t="shared" ref="C9:H9" si="0">C7</f>
        <v>0</v>
      </c>
      <c r="D9" s="63">
        <f t="shared" si="0"/>
        <v>59.167638650000001</v>
      </c>
      <c r="E9" s="63">
        <f t="shared" si="0"/>
        <v>183.69810000000001</v>
      </c>
      <c r="F9" s="63">
        <f t="shared" si="0"/>
        <v>0</v>
      </c>
      <c r="G9" s="63">
        <f t="shared" si="0"/>
        <v>0</v>
      </c>
      <c r="H9" s="65">
        <f t="shared" si="0"/>
        <v>-242.86573865000003</v>
      </c>
    </row>
    <row r="10" spans="2:21" ht="13">
      <c r="B10" s="199"/>
      <c r="C10" s="190"/>
      <c r="D10" s="191"/>
      <c r="E10" s="191"/>
      <c r="F10" s="192"/>
      <c r="G10" s="192"/>
      <c r="H10" s="200"/>
      <c r="J10" s="58"/>
    </row>
    <row r="11" spans="2:21" ht="13">
      <c r="B11" s="391" t="s">
        <v>77</v>
      </c>
      <c r="C11" s="380"/>
      <c r="D11" s="195"/>
      <c r="E11" s="195"/>
      <c r="F11" s="138">
        <f>D9+E9</f>
        <v>242.86573865000003</v>
      </c>
      <c r="G11" s="138"/>
      <c r="H11" s="200"/>
    </row>
    <row r="12" spans="2:21" ht="17.25" customHeight="1" thickBot="1">
      <c r="B12" s="202"/>
      <c r="C12" s="203"/>
      <c r="D12" s="203"/>
      <c r="E12" s="203"/>
      <c r="F12" s="203"/>
      <c r="G12" s="203"/>
      <c r="H12" s="204"/>
      <c r="I12" s="118"/>
    </row>
  </sheetData>
  <mergeCells count="3">
    <mergeCell ref="B2:H2"/>
    <mergeCell ref="R3:S3"/>
    <mergeCell ref="B11:C11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2"/>
  <sheetViews>
    <sheetView zoomScale="89" zoomScaleNormal="89" workbookViewId="0">
      <selection activeCell="A12" sqref="A12:XFD17"/>
    </sheetView>
  </sheetViews>
  <sheetFormatPr defaultColWidth="9.1796875" defaultRowHeight="12.5"/>
  <cols>
    <col min="1" max="1" width="3.54296875" style="44" customWidth="1"/>
    <col min="2" max="2" width="18.7265625" style="44" customWidth="1"/>
    <col min="3" max="3" width="19.26953125" style="44" customWidth="1"/>
    <col min="4" max="4" width="13.1796875" style="44" customWidth="1"/>
    <col min="5" max="5" width="13.81640625" style="44" bestFit="1" customWidth="1"/>
    <col min="6" max="6" width="14.81640625" style="44" customWidth="1"/>
    <col min="7" max="7" width="13.1796875" style="44" bestFit="1" customWidth="1"/>
    <col min="8" max="8" width="11.7265625" style="44" customWidth="1"/>
    <col min="9" max="9" width="11.7265625" style="44" bestFit="1" customWidth="1"/>
    <col min="10" max="10" width="12.453125" style="44" customWidth="1"/>
    <col min="11" max="11" width="11.81640625" style="44" customWidth="1"/>
    <col min="12" max="12" width="9.81640625" style="44" customWidth="1"/>
    <col min="13" max="13" width="10.7265625" style="44" customWidth="1"/>
    <col min="14" max="14" width="11.453125" style="44" customWidth="1"/>
    <col min="15" max="15" width="11.1796875" style="44" customWidth="1"/>
    <col min="16" max="16" width="9.54296875" style="44" bestFit="1" customWidth="1"/>
    <col min="17" max="17" width="10.7265625" style="44" bestFit="1" customWidth="1"/>
    <col min="18" max="18" width="11.7265625" style="44" bestFit="1" customWidth="1"/>
    <col min="19" max="19" width="9.54296875" style="44" bestFit="1" customWidth="1"/>
    <col min="20" max="20" width="11.54296875" style="44" customWidth="1"/>
    <col min="21" max="21" width="22.54296875" style="44" customWidth="1"/>
    <col min="22" max="16384" width="9.1796875" style="44"/>
  </cols>
  <sheetData>
    <row r="1" spans="2:20" ht="13" thickBot="1">
      <c r="B1" s="41"/>
      <c r="C1" s="42"/>
      <c r="D1" s="43"/>
    </row>
    <row r="2" spans="2:20" ht="13.5" thickBot="1">
      <c r="B2" s="374" t="s">
        <v>258</v>
      </c>
      <c r="C2" s="375"/>
      <c r="D2" s="375"/>
      <c r="E2" s="375"/>
      <c r="F2" s="375"/>
      <c r="G2" s="376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</row>
    <row r="3" spans="2:20" s="51" customFormat="1" ht="45.75" customHeight="1">
      <c r="B3" s="177"/>
      <c r="C3" s="174" t="s">
        <v>259</v>
      </c>
      <c r="D3" s="175" t="s">
        <v>251</v>
      </c>
      <c r="E3" s="175" t="s">
        <v>252</v>
      </c>
      <c r="F3" s="175" t="s">
        <v>253</v>
      </c>
      <c r="G3" s="178" t="s">
        <v>112</v>
      </c>
      <c r="Q3" s="377"/>
      <c r="R3" s="378"/>
    </row>
    <row r="4" spans="2:20">
      <c r="B4" s="52" t="s">
        <v>72</v>
      </c>
      <c r="C4" s="78"/>
      <c r="D4" s="129">
        <v>40.1</v>
      </c>
      <c r="E4" s="129">
        <v>3</v>
      </c>
      <c r="F4" s="80"/>
      <c r="G4" s="179"/>
    </row>
    <row r="5" spans="2:20">
      <c r="B5" s="52" t="s">
        <v>73</v>
      </c>
      <c r="C5" s="78"/>
      <c r="D5" s="90">
        <v>30</v>
      </c>
      <c r="E5" s="90">
        <v>5</v>
      </c>
      <c r="F5" s="88"/>
      <c r="G5" s="179"/>
      <c r="I5" s="124"/>
    </row>
    <row r="6" spans="2:20">
      <c r="B6" s="52" t="s">
        <v>74</v>
      </c>
      <c r="C6" s="78"/>
      <c r="D6" s="88">
        <f>D4*D5</f>
        <v>1203</v>
      </c>
      <c r="E6" s="88">
        <f>E4*E5</f>
        <v>15</v>
      </c>
      <c r="F6" s="88"/>
      <c r="G6" s="179"/>
    </row>
    <row r="7" spans="2:20">
      <c r="B7" s="52" t="s">
        <v>75</v>
      </c>
      <c r="C7" s="58">
        <f>East_Summary!C6</f>
        <v>0</v>
      </c>
      <c r="D7" s="117">
        <v>677.69338111309071</v>
      </c>
      <c r="E7" s="117">
        <v>12.792796885000143</v>
      </c>
      <c r="F7" s="88"/>
      <c r="G7" s="179">
        <f>C7-D7-E7</f>
        <v>-690.48617799809085</v>
      </c>
      <c r="J7" s="58"/>
    </row>
    <row r="8" spans="2:20">
      <c r="B8" s="52"/>
      <c r="C8" s="78"/>
      <c r="D8" s="78"/>
      <c r="E8" s="78"/>
      <c r="F8" s="78"/>
      <c r="G8" s="89"/>
      <c r="I8" s="58"/>
    </row>
    <row r="9" spans="2:20" ht="13.5" thickBot="1">
      <c r="B9" s="62" t="s">
        <v>76</v>
      </c>
      <c r="C9" s="105">
        <f t="shared" ref="C9:G9" si="0">C7</f>
        <v>0</v>
      </c>
      <c r="D9" s="63">
        <f t="shared" si="0"/>
        <v>677.69338111309071</v>
      </c>
      <c r="E9" s="63">
        <f t="shared" si="0"/>
        <v>12.792796885000143</v>
      </c>
      <c r="F9" s="63">
        <f t="shared" si="0"/>
        <v>0</v>
      </c>
      <c r="G9" s="65">
        <f t="shared" si="0"/>
        <v>-690.48617799809085</v>
      </c>
    </row>
    <row r="10" spans="2:20" ht="13">
      <c r="B10" s="199"/>
      <c r="C10" s="190"/>
      <c r="D10" s="191"/>
      <c r="E10" s="192"/>
      <c r="F10" s="192"/>
      <c r="G10" s="200"/>
      <c r="I10" s="58"/>
    </row>
    <row r="11" spans="2:20" ht="13">
      <c r="B11" s="391" t="s">
        <v>77</v>
      </c>
      <c r="C11" s="380"/>
      <c r="D11" s="195"/>
      <c r="E11" s="138">
        <f>D9+E9+F9</f>
        <v>690.48617799809085</v>
      </c>
      <c r="F11" s="138"/>
      <c r="G11" s="200"/>
    </row>
    <row r="12" spans="2:20" ht="17.25" customHeight="1" thickBot="1">
      <c r="B12" s="202"/>
      <c r="C12" s="203"/>
      <c r="D12" s="203"/>
      <c r="E12" s="203"/>
      <c r="F12" s="203"/>
      <c r="G12" s="204"/>
      <c r="H12" s="118"/>
    </row>
  </sheetData>
  <mergeCells count="3">
    <mergeCell ref="B2:G2"/>
    <mergeCell ref="Q3:R3"/>
    <mergeCell ref="B11:C11"/>
  </mergeCells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"/>
  <sheetViews>
    <sheetView zoomScale="90" zoomScaleNormal="90" workbookViewId="0">
      <selection activeCell="I8" sqref="I8"/>
    </sheetView>
  </sheetViews>
  <sheetFormatPr defaultColWidth="9.1796875" defaultRowHeight="12.5"/>
  <cols>
    <col min="1" max="1" width="3.81640625" style="44" customWidth="1"/>
    <col min="2" max="2" width="18.7265625" style="44" customWidth="1"/>
    <col min="3" max="3" width="19.26953125" style="152" customWidth="1"/>
    <col min="4" max="4" width="18.453125" style="44" bestFit="1" customWidth="1"/>
    <col min="5" max="5" width="16.453125" style="44" bestFit="1" customWidth="1"/>
    <col min="6" max="6" width="15" style="44" customWidth="1"/>
    <col min="7" max="7" width="15.81640625" style="44" bestFit="1" customWidth="1"/>
    <col min="8" max="8" width="11" style="44" bestFit="1" customWidth="1"/>
    <col min="9" max="9" width="9.453125" style="44" customWidth="1"/>
    <col min="10" max="10" width="9.1796875" style="44" customWidth="1"/>
    <col min="11" max="11" width="9.7265625" style="44" bestFit="1" customWidth="1"/>
    <col min="12" max="12" width="11.54296875" style="44" customWidth="1"/>
    <col min="13" max="13" width="22.54296875" style="44" customWidth="1"/>
    <col min="14" max="16384" width="9.1796875" style="44"/>
  </cols>
  <sheetData>
    <row r="1" spans="2:12" ht="13" thickBot="1">
      <c r="B1" s="41"/>
      <c r="C1" s="149"/>
      <c r="D1" s="43"/>
    </row>
    <row r="2" spans="2:12" ht="13.5" thickBot="1">
      <c r="B2" s="374" t="s">
        <v>260</v>
      </c>
      <c r="C2" s="375"/>
      <c r="D2" s="375"/>
      <c r="E2" s="375"/>
      <c r="F2" s="375"/>
      <c r="G2" s="376"/>
      <c r="H2" s="45"/>
      <c r="I2" s="45"/>
      <c r="J2" s="45"/>
      <c r="K2" s="45"/>
      <c r="L2" s="45"/>
    </row>
    <row r="3" spans="2:12" s="51" customFormat="1" ht="45.75" customHeight="1">
      <c r="B3" s="173"/>
      <c r="C3" s="312" t="s">
        <v>261</v>
      </c>
      <c r="D3" s="175" t="s">
        <v>262</v>
      </c>
      <c r="E3" s="175" t="s">
        <v>263</v>
      </c>
      <c r="F3" s="175" t="s">
        <v>264</v>
      </c>
      <c r="G3" s="176" t="s">
        <v>71</v>
      </c>
      <c r="I3" s="377"/>
      <c r="J3" s="378"/>
    </row>
    <row r="4" spans="2:12">
      <c r="B4" s="101" t="s">
        <v>72</v>
      </c>
      <c r="C4" s="150"/>
      <c r="D4" s="54"/>
      <c r="E4" s="87"/>
      <c r="F4" s="54"/>
      <c r="G4" s="102"/>
    </row>
    <row r="5" spans="2:12">
      <c r="B5" s="101" t="s">
        <v>73</v>
      </c>
      <c r="C5" s="150"/>
      <c r="D5" s="57">
        <v>30</v>
      </c>
      <c r="E5" s="78">
        <v>30</v>
      </c>
      <c r="F5" s="313"/>
      <c r="G5" s="102"/>
    </row>
    <row r="6" spans="2:12">
      <c r="B6" s="101" t="s">
        <v>74</v>
      </c>
      <c r="C6" s="150"/>
      <c r="D6" s="54">
        <f t="shared" ref="D6" si="0">D5*D4</f>
        <v>0</v>
      </c>
      <c r="E6" s="88"/>
      <c r="F6" s="132"/>
      <c r="G6" s="102"/>
      <c r="H6" s="91"/>
    </row>
    <row r="7" spans="2:12">
      <c r="B7" s="101" t="s">
        <v>75</v>
      </c>
      <c r="C7" s="117">
        <f>SUM(East_Summary!C15:C17)</f>
        <v>0</v>
      </c>
      <c r="D7" s="117">
        <f>F16</f>
        <v>0</v>
      </c>
      <c r="E7" s="88">
        <f>F17</f>
        <v>677.69338111309071</v>
      </c>
      <c r="F7" s="88"/>
      <c r="G7" s="102">
        <f>SUM(D7:F7)-C7</f>
        <v>677.69338111309071</v>
      </c>
      <c r="H7" s="58"/>
      <c r="I7" s="58">
        <f>C7-D7</f>
        <v>0</v>
      </c>
    </row>
    <row r="8" spans="2:12">
      <c r="B8" s="101"/>
      <c r="C8" s="150"/>
      <c r="D8" s="78"/>
      <c r="E8" s="78"/>
      <c r="F8" s="92"/>
      <c r="G8" s="103"/>
      <c r="H8" s="58"/>
      <c r="I8" s="58"/>
    </row>
    <row r="9" spans="2:12" ht="13.5" thickBot="1">
      <c r="B9" s="104" t="s">
        <v>76</v>
      </c>
      <c r="C9" s="151">
        <f t="shared" ref="C9:G9" si="1">C7</f>
        <v>0</v>
      </c>
      <c r="D9" s="63">
        <f t="shared" si="1"/>
        <v>0</v>
      </c>
      <c r="E9" s="63">
        <f t="shared" si="1"/>
        <v>677.69338111309071</v>
      </c>
      <c r="F9" s="63">
        <f t="shared" si="1"/>
        <v>0</v>
      </c>
      <c r="G9" s="106">
        <f t="shared" si="1"/>
        <v>677.69338111309071</v>
      </c>
      <c r="H9" s="58"/>
      <c r="I9" s="58"/>
    </row>
    <row r="10" spans="2:12" ht="13">
      <c r="B10" s="189"/>
      <c r="C10" s="307"/>
      <c r="D10" s="191"/>
      <c r="E10" s="191"/>
      <c r="F10" s="191"/>
      <c r="G10" s="193"/>
      <c r="H10" s="58"/>
      <c r="I10" s="58"/>
    </row>
    <row r="11" spans="2:12" ht="13">
      <c r="B11" s="189"/>
      <c r="C11" s="307"/>
      <c r="D11" s="191"/>
      <c r="E11" s="192"/>
      <c r="F11" s="192"/>
      <c r="G11" s="193"/>
      <c r="H11" s="58"/>
      <c r="I11" s="58"/>
      <c r="J11" s="58"/>
      <c r="K11" s="58"/>
      <c r="L11" s="58"/>
    </row>
    <row r="12" spans="2:12" ht="13">
      <c r="B12" s="379" t="s">
        <v>77</v>
      </c>
      <c r="C12" s="380"/>
      <c r="D12" s="195"/>
      <c r="E12" s="138">
        <f>D9+E9</f>
        <v>677.69338111309071</v>
      </c>
      <c r="F12" s="138"/>
      <c r="G12" s="193"/>
      <c r="H12" s="58"/>
    </row>
    <row r="13" spans="2:12" ht="13">
      <c r="B13" s="194"/>
      <c r="C13" s="170"/>
      <c r="D13" s="195"/>
      <c r="E13" s="138"/>
      <c r="F13" s="138"/>
      <c r="G13" s="193"/>
      <c r="H13" s="58"/>
    </row>
    <row r="14" spans="2:12" ht="13.5" thickBot="1">
      <c r="B14" s="194"/>
      <c r="C14" s="310"/>
      <c r="D14" s="195"/>
      <c r="E14" s="411" t="s">
        <v>265</v>
      </c>
      <c r="F14" s="411"/>
      <c r="G14" s="193"/>
      <c r="H14" s="58"/>
    </row>
    <row r="15" spans="2:12" ht="13">
      <c r="B15" s="194"/>
      <c r="C15" s="170"/>
      <c r="D15" s="195"/>
      <c r="E15" s="120" t="s">
        <v>197</v>
      </c>
      <c r="F15" s="169" t="s">
        <v>198</v>
      </c>
      <c r="G15" s="193"/>
      <c r="H15" s="58"/>
    </row>
    <row r="16" spans="2:12" ht="13">
      <c r="B16" s="355"/>
      <c r="C16" s="356"/>
      <c r="D16" s="195"/>
      <c r="E16" s="52" t="s">
        <v>237</v>
      </c>
      <c r="F16" s="142">
        <f>Accugas!E9</f>
        <v>0</v>
      </c>
      <c r="G16" s="193"/>
      <c r="H16" s="58"/>
    </row>
    <row r="17" spans="2:8" ht="13">
      <c r="B17" s="355"/>
      <c r="C17" s="356"/>
      <c r="D17" s="195"/>
      <c r="E17" s="52" t="s">
        <v>239</v>
      </c>
      <c r="F17" s="142">
        <f>NEOL!D9</f>
        <v>677.69338111309071</v>
      </c>
      <c r="G17" s="193"/>
      <c r="H17" s="58"/>
    </row>
    <row r="18" spans="2:8" ht="13">
      <c r="B18" s="355"/>
      <c r="C18" s="356"/>
      <c r="D18" s="195"/>
      <c r="E18" s="357"/>
      <c r="F18" s="213"/>
      <c r="G18" s="193"/>
      <c r="H18" s="58"/>
    </row>
    <row r="19" spans="2:8" ht="13.5" thickBot="1">
      <c r="B19" s="355"/>
      <c r="C19" s="358"/>
      <c r="D19" s="195"/>
      <c r="E19" s="122" t="s">
        <v>157</v>
      </c>
      <c r="F19" s="123">
        <f>SUM(F16:F17)</f>
        <v>677.69338111309071</v>
      </c>
      <c r="G19" s="193"/>
      <c r="H19" s="58"/>
    </row>
    <row r="20" spans="2:8" ht="13">
      <c r="B20" s="355"/>
      <c r="C20" s="358"/>
      <c r="D20" s="195"/>
      <c r="E20" s="192"/>
      <c r="F20" s="137"/>
      <c r="G20" s="193"/>
      <c r="H20" s="58"/>
    </row>
    <row r="21" spans="2:8" ht="13">
      <c r="B21" s="355"/>
      <c r="C21" s="359"/>
      <c r="D21" s="195"/>
      <c r="E21" s="192"/>
      <c r="F21" s="137"/>
      <c r="G21" s="193"/>
      <c r="H21" s="58"/>
    </row>
    <row r="22" spans="2:8" ht="17.25" customHeight="1" thickBot="1">
      <c r="B22" s="196"/>
      <c r="C22" s="314"/>
      <c r="D22" s="197"/>
      <c r="E22" s="197"/>
      <c r="F22" s="197"/>
      <c r="G22" s="198"/>
    </row>
    <row r="23" spans="2:8" ht="13" thickTop="1"/>
    <row r="25" spans="2:8">
      <c r="D25" s="58"/>
    </row>
  </sheetData>
  <mergeCells count="4">
    <mergeCell ref="B2:G2"/>
    <mergeCell ref="I3:J3"/>
    <mergeCell ref="B12:C12"/>
    <mergeCell ref="E14:F14"/>
  </mergeCells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"/>
  <sheetViews>
    <sheetView zoomScale="90" zoomScaleNormal="90" workbookViewId="0">
      <selection activeCell="D18" sqref="D18"/>
    </sheetView>
  </sheetViews>
  <sheetFormatPr defaultColWidth="9.1796875" defaultRowHeight="12.5"/>
  <cols>
    <col min="1" max="1" width="3.81640625" style="44" customWidth="1"/>
    <col min="2" max="2" width="18.7265625" style="44" customWidth="1"/>
    <col min="3" max="3" width="19.26953125" style="152" customWidth="1"/>
    <col min="4" max="4" width="18.453125" style="44" bestFit="1" customWidth="1"/>
    <col min="5" max="5" width="16.453125" style="44" bestFit="1" customWidth="1"/>
    <col min="6" max="6" width="15" style="44" customWidth="1"/>
    <col min="7" max="7" width="15.81640625" style="44" bestFit="1" customWidth="1"/>
    <col min="8" max="8" width="11" style="44" bestFit="1" customWidth="1"/>
    <col min="9" max="9" width="9.453125" style="44" customWidth="1"/>
    <col min="10" max="10" width="9.1796875" style="44" customWidth="1"/>
    <col min="11" max="11" width="9.7265625" style="44" bestFit="1" customWidth="1"/>
    <col min="12" max="12" width="11.54296875" style="44" customWidth="1"/>
    <col min="13" max="13" width="22.54296875" style="44" customWidth="1"/>
    <col min="14" max="16384" width="9.1796875" style="44"/>
  </cols>
  <sheetData>
    <row r="1" spans="2:12" ht="13" thickBot="1">
      <c r="B1" s="41"/>
      <c r="C1" s="149"/>
      <c r="D1" s="43"/>
    </row>
    <row r="2" spans="2:12" ht="13.5" thickBot="1">
      <c r="B2" s="374" t="s">
        <v>242</v>
      </c>
      <c r="C2" s="375"/>
      <c r="D2" s="375"/>
      <c r="E2" s="375"/>
      <c r="F2" s="375"/>
      <c r="G2" s="376"/>
      <c r="H2" s="45"/>
      <c r="I2" s="45"/>
      <c r="J2" s="45"/>
      <c r="K2" s="45"/>
      <c r="L2" s="45"/>
    </row>
    <row r="3" spans="2:12" s="51" customFormat="1" ht="45.75" customHeight="1">
      <c r="B3" s="173"/>
      <c r="C3" s="312" t="s">
        <v>266</v>
      </c>
      <c r="D3" s="175" t="s">
        <v>262</v>
      </c>
      <c r="E3" s="175" t="s">
        <v>263</v>
      </c>
      <c r="F3" s="175" t="s">
        <v>264</v>
      </c>
      <c r="G3" s="176" t="s">
        <v>71</v>
      </c>
      <c r="I3" s="377"/>
      <c r="J3" s="378"/>
    </row>
    <row r="4" spans="2:12">
      <c r="B4" s="101" t="s">
        <v>72</v>
      </c>
      <c r="C4" s="150"/>
      <c r="D4" s="54"/>
      <c r="E4" s="87"/>
      <c r="F4" s="54"/>
      <c r="G4" s="102"/>
    </row>
    <row r="5" spans="2:12">
      <c r="B5" s="101" t="s">
        <v>73</v>
      </c>
      <c r="C5" s="150"/>
      <c r="D5" s="57">
        <v>30</v>
      </c>
      <c r="E5" s="78">
        <v>30</v>
      </c>
      <c r="F5" s="313"/>
      <c r="G5" s="102"/>
    </row>
    <row r="6" spans="2:12">
      <c r="B6" s="101" t="s">
        <v>74</v>
      </c>
      <c r="C6" s="150"/>
      <c r="D6" s="54">
        <f t="shared" ref="D6" si="0">D5*D4</f>
        <v>0</v>
      </c>
      <c r="E6" s="88"/>
      <c r="F6" s="132"/>
      <c r="G6" s="102"/>
      <c r="H6" s="91"/>
    </row>
    <row r="7" spans="2:12">
      <c r="B7" s="101" t="s">
        <v>75</v>
      </c>
      <c r="C7" s="117">
        <f>East_Summary!C13</f>
        <v>0</v>
      </c>
      <c r="D7" s="117">
        <f>Accugas!F9</f>
        <v>0</v>
      </c>
      <c r="E7" s="88">
        <f>NEOL!E9</f>
        <v>12.792796885000143</v>
      </c>
      <c r="F7" s="88"/>
      <c r="G7" s="102">
        <f>SUM(D7:F7)-C7</f>
        <v>12.792796885000143</v>
      </c>
      <c r="H7" s="58"/>
    </row>
    <row r="8" spans="2:12">
      <c r="B8" s="101"/>
      <c r="C8" s="150"/>
      <c r="D8" s="78"/>
      <c r="E8" s="78"/>
      <c r="F8" s="92"/>
      <c r="G8" s="103"/>
      <c r="H8" s="58"/>
      <c r="I8" s="58"/>
    </row>
    <row r="9" spans="2:12" ht="13.5" thickBot="1">
      <c r="B9" s="104" t="s">
        <v>76</v>
      </c>
      <c r="C9" s="151">
        <f t="shared" ref="C9:G9" si="1">C7</f>
        <v>0</v>
      </c>
      <c r="D9" s="63">
        <f t="shared" si="1"/>
        <v>0</v>
      </c>
      <c r="E9" s="63">
        <f t="shared" si="1"/>
        <v>12.792796885000143</v>
      </c>
      <c r="F9" s="63">
        <f t="shared" si="1"/>
        <v>0</v>
      </c>
      <c r="G9" s="106">
        <f t="shared" si="1"/>
        <v>12.792796885000143</v>
      </c>
      <c r="H9" s="58"/>
      <c r="I9" s="58"/>
    </row>
    <row r="10" spans="2:12" ht="13">
      <c r="B10" s="189"/>
      <c r="C10" s="307"/>
      <c r="D10" s="191"/>
      <c r="E10" s="191"/>
      <c r="F10" s="191"/>
      <c r="G10" s="193"/>
      <c r="H10" s="58"/>
      <c r="I10" s="58"/>
    </row>
    <row r="11" spans="2:12" ht="13">
      <c r="B11" s="189"/>
      <c r="C11" s="307"/>
      <c r="D11" s="191"/>
      <c r="E11" s="192"/>
      <c r="F11" s="192"/>
      <c r="G11" s="193"/>
      <c r="H11" s="58"/>
      <c r="I11" s="58"/>
      <c r="J11" s="58"/>
      <c r="K11" s="58"/>
      <c r="L11" s="58"/>
    </row>
    <row r="12" spans="2:12" ht="13">
      <c r="B12" s="379" t="s">
        <v>77</v>
      </c>
      <c r="C12" s="380"/>
      <c r="D12" s="195"/>
      <c r="E12" s="138">
        <f>D9+E9</f>
        <v>12.792796885000143</v>
      </c>
      <c r="F12" s="138"/>
      <c r="G12" s="193"/>
      <c r="H12" s="58"/>
    </row>
    <row r="13" spans="2:12" ht="13">
      <c r="B13" s="194"/>
      <c r="C13" s="170"/>
      <c r="D13" s="195"/>
      <c r="E13" s="138"/>
      <c r="F13" s="138"/>
      <c r="G13" s="193"/>
      <c r="H13" s="58"/>
    </row>
    <row r="14" spans="2:12" ht="13.5" thickBot="1">
      <c r="B14" s="194"/>
      <c r="C14" s="310"/>
      <c r="D14" s="195"/>
      <c r="E14" s="411" t="s">
        <v>267</v>
      </c>
      <c r="F14" s="411"/>
      <c r="G14" s="193"/>
      <c r="H14" s="58"/>
    </row>
    <row r="15" spans="2:12" ht="13">
      <c r="B15" s="194"/>
      <c r="C15" s="170"/>
      <c r="D15" s="195"/>
      <c r="E15" s="120" t="s">
        <v>197</v>
      </c>
      <c r="F15" s="169" t="s">
        <v>198</v>
      </c>
      <c r="G15" s="193"/>
      <c r="H15" s="58"/>
    </row>
    <row r="16" spans="2:12" ht="13">
      <c r="B16" s="355"/>
      <c r="C16" s="356"/>
      <c r="D16" s="195"/>
      <c r="E16" s="52" t="s">
        <v>237</v>
      </c>
      <c r="F16" s="142">
        <f>Accugas!F9</f>
        <v>0</v>
      </c>
      <c r="G16" s="193"/>
      <c r="H16" s="58"/>
    </row>
    <row r="17" spans="2:8" ht="13">
      <c r="B17" s="355"/>
      <c r="C17" s="356"/>
      <c r="D17" s="195"/>
      <c r="E17" s="52" t="s">
        <v>239</v>
      </c>
      <c r="F17" s="142">
        <f>NEOL!E9</f>
        <v>12.792796885000143</v>
      </c>
      <c r="G17" s="193"/>
      <c r="H17" s="58"/>
    </row>
    <row r="18" spans="2:8" ht="13">
      <c r="B18" s="355"/>
      <c r="C18" s="356"/>
      <c r="D18" s="195"/>
      <c r="E18" s="357"/>
      <c r="F18" s="213"/>
      <c r="G18" s="193"/>
      <c r="H18" s="58"/>
    </row>
    <row r="19" spans="2:8" ht="13.5" thickBot="1">
      <c r="B19" s="355"/>
      <c r="C19" s="358"/>
      <c r="D19" s="195"/>
      <c r="E19" s="122" t="s">
        <v>157</v>
      </c>
      <c r="F19" s="123">
        <f>SUM(F16:F17)</f>
        <v>12.792796885000143</v>
      </c>
      <c r="G19" s="193"/>
      <c r="H19" s="58"/>
    </row>
    <row r="20" spans="2:8" ht="13">
      <c r="B20" s="355"/>
      <c r="C20" s="358"/>
      <c r="D20" s="195"/>
      <c r="E20" s="192"/>
      <c r="F20" s="137"/>
      <c r="G20" s="193"/>
      <c r="H20" s="58"/>
    </row>
    <row r="21" spans="2:8" ht="13">
      <c r="B21" s="355"/>
      <c r="C21" s="359"/>
      <c r="D21" s="195"/>
      <c r="E21" s="192"/>
      <c r="F21" s="137"/>
      <c r="G21" s="193"/>
      <c r="H21" s="58"/>
    </row>
    <row r="22" spans="2:8" ht="17.25" customHeight="1" thickBot="1">
      <c r="B22" s="196"/>
      <c r="C22" s="314"/>
      <c r="D22" s="197"/>
      <c r="E22" s="197"/>
      <c r="F22" s="197"/>
      <c r="G22" s="198"/>
    </row>
    <row r="23" spans="2:8" ht="13" thickTop="1"/>
    <row r="25" spans="2:8">
      <c r="D25" s="58"/>
    </row>
  </sheetData>
  <mergeCells count="4">
    <mergeCell ref="B2:G2"/>
    <mergeCell ref="I3:J3"/>
    <mergeCell ref="B12:C12"/>
    <mergeCell ref="E14:F14"/>
  </mergeCells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4"/>
  <sheetViews>
    <sheetView zoomScale="90" zoomScaleNormal="90" workbookViewId="0">
      <selection activeCell="B2" sqref="B2:G2"/>
    </sheetView>
  </sheetViews>
  <sheetFormatPr defaultColWidth="9.1796875" defaultRowHeight="12.5"/>
  <cols>
    <col min="1" max="1" width="3.81640625" style="44" customWidth="1"/>
    <col min="2" max="2" width="18.7265625" style="44" customWidth="1"/>
    <col min="3" max="3" width="19.26953125" style="152" customWidth="1"/>
    <col min="4" max="4" width="18.453125" style="44" bestFit="1" customWidth="1"/>
    <col min="5" max="5" width="16.453125" style="44" bestFit="1" customWidth="1"/>
    <col min="6" max="6" width="15" style="44" customWidth="1"/>
    <col min="7" max="7" width="15.81640625" style="44" bestFit="1" customWidth="1"/>
    <col min="8" max="8" width="11" style="44" bestFit="1" customWidth="1"/>
    <col min="9" max="9" width="9.453125" style="44" customWidth="1"/>
    <col min="10" max="10" width="9.1796875" style="44" customWidth="1"/>
    <col min="11" max="11" width="9.7265625" style="44" bestFit="1" customWidth="1"/>
    <col min="12" max="12" width="11.54296875" style="44" customWidth="1"/>
    <col min="13" max="13" width="22.54296875" style="44" customWidth="1"/>
    <col min="14" max="16384" width="9.1796875" style="44"/>
  </cols>
  <sheetData>
    <row r="1" spans="2:12" ht="13" thickBot="1">
      <c r="B1" s="41"/>
      <c r="C1" s="149"/>
      <c r="D1" s="43"/>
    </row>
    <row r="2" spans="2:12" ht="13.5" thickBot="1">
      <c r="B2" s="374" t="s">
        <v>247</v>
      </c>
      <c r="C2" s="375"/>
      <c r="D2" s="375"/>
      <c r="E2" s="375"/>
      <c r="F2" s="375"/>
      <c r="G2" s="376"/>
      <c r="H2" s="45"/>
      <c r="I2" s="45"/>
      <c r="J2" s="45"/>
      <c r="K2" s="45"/>
      <c r="L2" s="45"/>
    </row>
    <row r="3" spans="2:12" s="51" customFormat="1" ht="45.75" customHeight="1">
      <c r="B3" s="173"/>
      <c r="C3" s="312" t="s">
        <v>268</v>
      </c>
      <c r="D3" s="175" t="s">
        <v>262</v>
      </c>
      <c r="E3" s="175" t="s">
        <v>269</v>
      </c>
      <c r="F3" s="175" t="s">
        <v>264</v>
      </c>
      <c r="G3" s="176" t="s">
        <v>71</v>
      </c>
      <c r="I3" s="377"/>
      <c r="J3" s="378"/>
    </row>
    <row r="4" spans="2:12">
      <c r="B4" s="101" t="s">
        <v>72</v>
      </c>
      <c r="C4" s="150"/>
      <c r="D4" s="54"/>
      <c r="E4" s="54"/>
      <c r="F4" s="54"/>
      <c r="G4" s="102"/>
    </row>
    <row r="5" spans="2:12">
      <c r="B5" s="101" t="s">
        <v>73</v>
      </c>
      <c r="C5" s="150"/>
      <c r="D5" s="57">
        <v>30</v>
      </c>
      <c r="E5" s="313"/>
      <c r="F5" s="313"/>
      <c r="G5" s="102"/>
    </row>
    <row r="6" spans="2:12">
      <c r="B6" s="101" t="s">
        <v>74</v>
      </c>
      <c r="C6" s="150"/>
      <c r="D6" s="54">
        <f t="shared" ref="D6" si="0">D5*D4</f>
        <v>0</v>
      </c>
      <c r="E6" s="132"/>
      <c r="F6" s="132"/>
      <c r="G6" s="102"/>
      <c r="H6" s="91"/>
    </row>
    <row r="7" spans="2:12">
      <c r="B7" s="101" t="s">
        <v>75</v>
      </c>
      <c r="C7" s="117">
        <f>East_Summary!C18</f>
        <v>0</v>
      </c>
      <c r="D7" s="117">
        <f>Accugas!D9</f>
        <v>0</v>
      </c>
      <c r="E7" s="88"/>
      <c r="F7" s="88"/>
      <c r="G7" s="102">
        <f>SUM(D7:F7)-C7</f>
        <v>0</v>
      </c>
      <c r="H7" s="58"/>
    </row>
    <row r="8" spans="2:12">
      <c r="B8" s="101"/>
      <c r="C8" s="150"/>
      <c r="D8" s="78"/>
      <c r="E8" s="92"/>
      <c r="F8" s="92"/>
      <c r="G8" s="103"/>
      <c r="H8" s="58"/>
      <c r="I8" s="58"/>
    </row>
    <row r="9" spans="2:12" ht="13.5" thickBot="1">
      <c r="B9" s="104" t="s">
        <v>76</v>
      </c>
      <c r="C9" s="151">
        <f t="shared" ref="C9:G9" si="1">C7</f>
        <v>0</v>
      </c>
      <c r="D9" s="63">
        <f t="shared" si="1"/>
        <v>0</v>
      </c>
      <c r="E9" s="63">
        <f t="shared" si="1"/>
        <v>0</v>
      </c>
      <c r="F9" s="63">
        <f t="shared" si="1"/>
        <v>0</v>
      </c>
      <c r="G9" s="106">
        <f t="shared" si="1"/>
        <v>0</v>
      </c>
      <c r="H9" s="58"/>
      <c r="I9" s="58"/>
    </row>
    <row r="10" spans="2:12" ht="13">
      <c r="B10" s="189"/>
      <c r="C10" s="307"/>
      <c r="D10" s="191"/>
      <c r="E10" s="191"/>
      <c r="F10" s="191"/>
      <c r="G10" s="193"/>
      <c r="H10" s="58"/>
      <c r="I10" s="58"/>
    </row>
    <row r="11" spans="2:12" ht="13">
      <c r="B11" s="189"/>
      <c r="C11" s="307"/>
      <c r="D11" s="191"/>
      <c r="E11" s="192"/>
      <c r="F11" s="192"/>
      <c r="G11" s="193"/>
      <c r="H11" s="58"/>
      <c r="I11" s="58"/>
      <c r="J11" s="58"/>
      <c r="K11" s="58"/>
      <c r="L11" s="58"/>
    </row>
    <row r="12" spans="2:12" ht="13">
      <c r="B12" s="379" t="s">
        <v>77</v>
      </c>
      <c r="C12" s="380"/>
      <c r="D12" s="195"/>
      <c r="E12" s="138">
        <f>D9+E9</f>
        <v>0</v>
      </c>
      <c r="F12" s="138"/>
      <c r="G12" s="193"/>
      <c r="H12" s="58"/>
    </row>
    <row r="13" spans="2:12" ht="13">
      <c r="B13" s="194"/>
      <c r="C13" s="170"/>
      <c r="D13" s="195"/>
      <c r="E13" s="138"/>
      <c r="F13" s="138"/>
      <c r="G13" s="193"/>
      <c r="H13" s="58"/>
    </row>
    <row r="14" spans="2:12" ht="13.5" thickBot="1">
      <c r="B14" s="194"/>
      <c r="C14" s="310"/>
      <c r="D14" s="195"/>
      <c r="E14" s="411" t="s">
        <v>270</v>
      </c>
      <c r="F14" s="411"/>
      <c r="G14" s="193"/>
      <c r="H14" s="58"/>
    </row>
    <row r="15" spans="2:12" ht="13">
      <c r="B15" s="194"/>
      <c r="C15" s="170"/>
      <c r="D15" s="195"/>
      <c r="E15" s="120" t="s">
        <v>197</v>
      </c>
      <c r="F15" s="169" t="s">
        <v>198</v>
      </c>
      <c r="G15" s="193"/>
      <c r="H15" s="58"/>
    </row>
    <row r="16" spans="2:12" ht="13">
      <c r="B16" s="355"/>
      <c r="C16" s="356"/>
      <c r="D16" s="195"/>
      <c r="E16" s="52" t="s">
        <v>237</v>
      </c>
      <c r="F16" s="142">
        <f>Accugas!D7</f>
        <v>0</v>
      </c>
      <c r="G16" s="193"/>
      <c r="H16" s="58"/>
    </row>
    <row r="17" spans="2:8" ht="13">
      <c r="B17" s="355"/>
      <c r="C17" s="356"/>
      <c r="D17" s="195"/>
      <c r="E17" s="357"/>
      <c r="F17" s="213"/>
      <c r="G17" s="193"/>
      <c r="H17" s="58"/>
    </row>
    <row r="18" spans="2:8" ht="13.5" thickBot="1">
      <c r="B18" s="355"/>
      <c r="C18" s="358"/>
      <c r="D18" s="195"/>
      <c r="E18" s="122" t="s">
        <v>157</v>
      </c>
      <c r="F18" s="123">
        <f>SUM(F16:F16)</f>
        <v>0</v>
      </c>
      <c r="G18" s="193"/>
      <c r="H18" s="58"/>
    </row>
    <row r="19" spans="2:8" ht="13">
      <c r="B19" s="355"/>
      <c r="C19" s="358"/>
      <c r="D19" s="195"/>
      <c r="E19" s="192"/>
      <c r="F19" s="137"/>
      <c r="G19" s="193"/>
      <c r="H19" s="58"/>
    </row>
    <row r="20" spans="2:8" ht="13">
      <c r="B20" s="355"/>
      <c r="C20" s="359"/>
      <c r="D20" s="195"/>
      <c r="E20" s="192"/>
      <c r="F20" s="137"/>
      <c r="G20" s="193"/>
      <c r="H20" s="58"/>
    </row>
    <row r="21" spans="2:8" ht="17.25" customHeight="1" thickBot="1">
      <c r="B21" s="196"/>
      <c r="C21" s="314"/>
      <c r="D21" s="197"/>
      <c r="E21" s="197"/>
      <c r="F21" s="197"/>
      <c r="G21" s="198"/>
    </row>
    <row r="22" spans="2:8" ht="13" thickTop="1"/>
    <row r="24" spans="2:8">
      <c r="D24" s="58"/>
    </row>
  </sheetData>
  <mergeCells count="4">
    <mergeCell ref="B2:G2"/>
    <mergeCell ref="I3:J3"/>
    <mergeCell ref="B12:C12"/>
    <mergeCell ref="E14:F14"/>
  </mergeCells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4"/>
  <sheetViews>
    <sheetView zoomScale="90" zoomScaleNormal="90" workbookViewId="0">
      <selection activeCell="B3" sqref="B3"/>
    </sheetView>
  </sheetViews>
  <sheetFormatPr defaultColWidth="9.1796875" defaultRowHeight="12.5"/>
  <cols>
    <col min="1" max="1" width="3.81640625" style="44" customWidth="1"/>
    <col min="2" max="2" width="18.7265625" style="44" customWidth="1"/>
    <col min="3" max="3" width="19.26953125" style="152" customWidth="1"/>
    <col min="4" max="4" width="18.453125" style="44" bestFit="1" customWidth="1"/>
    <col min="5" max="5" width="16.453125" style="44" bestFit="1" customWidth="1"/>
    <col min="6" max="6" width="15" style="44" customWidth="1"/>
    <col min="7" max="7" width="15.81640625" style="44" bestFit="1" customWidth="1"/>
    <col min="8" max="8" width="11" style="44" bestFit="1" customWidth="1"/>
    <col min="9" max="9" width="9.453125" style="44" customWidth="1"/>
    <col min="10" max="10" width="9.1796875" style="44" customWidth="1"/>
    <col min="11" max="11" width="9.7265625" style="44" bestFit="1" customWidth="1"/>
    <col min="12" max="12" width="11.54296875" style="44" customWidth="1"/>
    <col min="13" max="13" width="22.54296875" style="44" customWidth="1"/>
    <col min="14" max="16384" width="9.1796875" style="44"/>
  </cols>
  <sheetData>
    <row r="1" spans="2:12" ht="13" thickBot="1">
      <c r="B1" s="41"/>
      <c r="C1" s="149"/>
      <c r="D1" s="43"/>
    </row>
    <row r="2" spans="2:12" ht="13.5" thickBot="1">
      <c r="B2" s="374" t="s">
        <v>156</v>
      </c>
      <c r="C2" s="375"/>
      <c r="D2" s="375"/>
      <c r="E2" s="375"/>
      <c r="F2" s="375"/>
      <c r="G2" s="376"/>
      <c r="H2" s="45"/>
      <c r="I2" s="45"/>
      <c r="J2" s="45"/>
      <c r="K2" s="45"/>
      <c r="L2" s="45"/>
    </row>
    <row r="3" spans="2:12" s="51" customFormat="1" ht="45.75" customHeight="1">
      <c r="B3" s="173"/>
      <c r="C3" s="312" t="s">
        <v>69</v>
      </c>
      <c r="D3" s="175" t="s">
        <v>271</v>
      </c>
      <c r="E3" s="175" t="s">
        <v>269</v>
      </c>
      <c r="F3" s="175" t="s">
        <v>264</v>
      </c>
      <c r="G3" s="176" t="s">
        <v>71</v>
      </c>
      <c r="I3" s="377"/>
      <c r="J3" s="378"/>
    </row>
    <row r="4" spans="2:12">
      <c r="B4" s="101" t="s">
        <v>72</v>
      </c>
      <c r="C4" s="150"/>
      <c r="D4" s="54"/>
      <c r="E4" s="54"/>
      <c r="F4" s="54"/>
      <c r="G4" s="102"/>
    </row>
    <row r="5" spans="2:12">
      <c r="B5" s="101" t="s">
        <v>73</v>
      </c>
      <c r="C5" s="150"/>
      <c r="D5" s="57">
        <v>30</v>
      </c>
      <c r="E5" s="313"/>
      <c r="F5" s="313"/>
      <c r="G5" s="102"/>
    </row>
    <row r="6" spans="2:12">
      <c r="B6" s="101" t="s">
        <v>74</v>
      </c>
      <c r="C6" s="150"/>
      <c r="D6" s="54">
        <f t="shared" ref="D6" si="0">D5*D4</f>
        <v>0</v>
      </c>
      <c r="E6" s="132"/>
      <c r="F6" s="132"/>
      <c r="G6" s="102"/>
      <c r="H6" s="91"/>
    </row>
    <row r="7" spans="2:12">
      <c r="B7" s="101" t="s">
        <v>75</v>
      </c>
      <c r="C7" s="117">
        <f>HHOG!D9</f>
        <v>59.167638650000001</v>
      </c>
      <c r="D7" s="117">
        <f>HHOG!D9</f>
        <v>59.167638650000001</v>
      </c>
      <c r="E7" s="88"/>
      <c r="F7" s="88"/>
      <c r="G7" s="102">
        <f>SUM(D7:F7)-C7</f>
        <v>0</v>
      </c>
      <c r="H7" s="58"/>
    </row>
    <row r="8" spans="2:12">
      <c r="B8" s="101"/>
      <c r="C8" s="150"/>
      <c r="D8" s="78"/>
      <c r="E8" s="92"/>
      <c r="F8" s="92"/>
      <c r="G8" s="103"/>
      <c r="H8" s="58"/>
      <c r="I8" s="58"/>
    </row>
    <row r="9" spans="2:12" ht="13.5" thickBot="1">
      <c r="B9" s="104" t="s">
        <v>76</v>
      </c>
      <c r="C9" s="151">
        <f t="shared" ref="C9:G9" si="1">C7</f>
        <v>59.167638650000001</v>
      </c>
      <c r="D9" s="63">
        <f t="shared" si="1"/>
        <v>59.167638650000001</v>
      </c>
      <c r="E9" s="63">
        <f t="shared" si="1"/>
        <v>0</v>
      </c>
      <c r="F9" s="63">
        <f t="shared" si="1"/>
        <v>0</v>
      </c>
      <c r="G9" s="106">
        <f t="shared" si="1"/>
        <v>0</v>
      </c>
      <c r="H9" s="58"/>
      <c r="I9" s="58"/>
    </row>
    <row r="10" spans="2:12" ht="13">
      <c r="B10" s="189"/>
      <c r="C10" s="307"/>
      <c r="D10" s="191"/>
      <c r="E10" s="191"/>
      <c r="F10" s="191"/>
      <c r="G10" s="193"/>
      <c r="H10" s="58"/>
      <c r="I10" s="58"/>
    </row>
    <row r="11" spans="2:12" ht="13">
      <c r="B11" s="189"/>
      <c r="C11" s="307"/>
      <c r="D11" s="191"/>
      <c r="E11" s="192"/>
      <c r="F11" s="192"/>
      <c r="G11" s="193"/>
      <c r="H11" s="58"/>
      <c r="I11" s="58"/>
      <c r="J11" s="58"/>
      <c r="K11" s="58"/>
      <c r="L11" s="58"/>
    </row>
    <row r="12" spans="2:12" ht="13">
      <c r="B12" s="379" t="s">
        <v>77</v>
      </c>
      <c r="C12" s="380"/>
      <c r="D12" s="195"/>
      <c r="E12" s="138">
        <f>D9+E9</f>
        <v>59.167638650000001</v>
      </c>
      <c r="F12" s="138"/>
      <c r="G12" s="193"/>
      <c r="H12" s="58"/>
    </row>
    <row r="13" spans="2:12" ht="13">
      <c r="B13" s="194"/>
      <c r="C13" s="170"/>
      <c r="D13" s="195"/>
      <c r="E13" s="138"/>
      <c r="F13" s="138"/>
      <c r="G13" s="193"/>
      <c r="H13" s="58"/>
    </row>
    <row r="14" spans="2:12" ht="13.5" thickBot="1">
      <c r="B14" s="194"/>
      <c r="C14" s="310"/>
      <c r="D14" s="195"/>
      <c r="E14" s="411" t="s">
        <v>272</v>
      </c>
      <c r="F14" s="411"/>
      <c r="G14" s="193"/>
      <c r="H14" s="58"/>
    </row>
    <row r="15" spans="2:12" ht="13">
      <c r="B15" s="194"/>
      <c r="C15" s="170"/>
      <c r="D15" s="195"/>
      <c r="E15" s="120" t="s">
        <v>197</v>
      </c>
      <c r="F15" s="169" t="s">
        <v>198</v>
      </c>
      <c r="G15" s="193"/>
      <c r="H15" s="58"/>
    </row>
    <row r="16" spans="2:12" ht="13">
      <c r="B16" s="355"/>
      <c r="C16" s="356"/>
      <c r="D16" s="195"/>
      <c r="E16" s="52" t="s">
        <v>238</v>
      </c>
      <c r="F16" s="142">
        <f>HHOG!D9</f>
        <v>59.167638650000001</v>
      </c>
      <c r="G16" s="193"/>
      <c r="H16" s="58"/>
    </row>
    <row r="17" spans="2:8" ht="13">
      <c r="B17" s="355"/>
      <c r="C17" s="356"/>
      <c r="D17" s="195"/>
      <c r="E17" s="357"/>
      <c r="F17" s="213"/>
      <c r="G17" s="193"/>
      <c r="H17" s="58"/>
    </row>
    <row r="18" spans="2:8" ht="13.5" thickBot="1">
      <c r="B18" s="355"/>
      <c r="C18" s="358"/>
      <c r="D18" s="195"/>
      <c r="E18" s="122" t="s">
        <v>157</v>
      </c>
      <c r="F18" s="123">
        <f>SUM(F16:F16)</f>
        <v>59.167638650000001</v>
      </c>
      <c r="G18" s="193"/>
      <c r="H18" s="58"/>
    </row>
    <row r="19" spans="2:8" ht="13">
      <c r="B19" s="355"/>
      <c r="C19" s="358"/>
      <c r="D19" s="195"/>
      <c r="E19" s="192"/>
      <c r="F19" s="137"/>
      <c r="G19" s="193"/>
      <c r="H19" s="58"/>
    </row>
    <row r="20" spans="2:8" ht="13">
      <c r="B20" s="355"/>
      <c r="C20" s="359"/>
      <c r="D20" s="195"/>
      <c r="E20" s="192"/>
      <c r="F20" s="137"/>
      <c r="G20" s="193"/>
      <c r="H20" s="58"/>
    </row>
    <row r="21" spans="2:8" ht="17.25" customHeight="1" thickBot="1">
      <c r="B21" s="196"/>
      <c r="C21" s="314"/>
      <c r="D21" s="197"/>
      <c r="E21" s="197"/>
      <c r="F21" s="197"/>
      <c r="G21" s="198"/>
    </row>
    <row r="22" spans="2:8" ht="13" thickTop="1"/>
    <row r="24" spans="2:8">
      <c r="D24" s="58"/>
    </row>
  </sheetData>
  <mergeCells count="4">
    <mergeCell ref="B2:G2"/>
    <mergeCell ref="I3:J3"/>
    <mergeCell ref="B12:C12"/>
    <mergeCell ref="E14:F14"/>
  </mergeCell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4"/>
  <sheetViews>
    <sheetView zoomScale="90" zoomScaleNormal="90" workbookViewId="0">
      <selection activeCell="L12" sqref="L12"/>
    </sheetView>
  </sheetViews>
  <sheetFormatPr defaultColWidth="9.1796875" defaultRowHeight="12.5"/>
  <cols>
    <col min="1" max="1" width="3.81640625" style="44" customWidth="1"/>
    <col min="2" max="2" width="18.7265625" style="44" customWidth="1"/>
    <col min="3" max="3" width="19.26953125" style="152" customWidth="1"/>
    <col min="4" max="4" width="18.453125" style="44" bestFit="1" customWidth="1"/>
    <col min="5" max="5" width="16.453125" style="44" bestFit="1" customWidth="1"/>
    <col min="6" max="6" width="15" style="44" customWidth="1"/>
    <col min="7" max="7" width="15.81640625" style="44" bestFit="1" customWidth="1"/>
    <col min="8" max="8" width="11" style="44" bestFit="1" customWidth="1"/>
    <col min="9" max="9" width="9.453125" style="44" customWidth="1"/>
    <col min="10" max="10" width="9.1796875" style="44" customWidth="1"/>
    <col min="11" max="11" width="9.7265625" style="44" bestFit="1" customWidth="1"/>
    <col min="12" max="12" width="11.54296875" style="44" customWidth="1"/>
    <col min="13" max="13" width="22.54296875" style="44" customWidth="1"/>
    <col min="14" max="16384" width="9.1796875" style="44"/>
  </cols>
  <sheetData>
    <row r="1" spans="2:12" ht="13" thickBot="1">
      <c r="B1" s="41"/>
      <c r="C1" s="149"/>
      <c r="D1" s="43"/>
    </row>
    <row r="2" spans="2:12" ht="13.5" thickBot="1">
      <c r="B2" s="374" t="s">
        <v>243</v>
      </c>
      <c r="C2" s="375"/>
      <c r="D2" s="375"/>
      <c r="E2" s="375"/>
      <c r="F2" s="375"/>
      <c r="G2" s="376"/>
      <c r="H2" s="45"/>
      <c r="I2" s="45"/>
      <c r="J2" s="45"/>
      <c r="K2" s="45"/>
      <c r="L2" s="45"/>
    </row>
    <row r="3" spans="2:12" s="51" customFormat="1" ht="45.75" customHeight="1">
      <c r="B3" s="173"/>
      <c r="C3" s="312" t="s">
        <v>273</v>
      </c>
      <c r="D3" s="175" t="s">
        <v>271</v>
      </c>
      <c r="E3" s="175" t="s">
        <v>269</v>
      </c>
      <c r="F3" s="175" t="s">
        <v>264</v>
      </c>
      <c r="G3" s="176" t="s">
        <v>71</v>
      </c>
      <c r="I3" s="377"/>
      <c r="J3" s="378"/>
    </row>
    <row r="4" spans="2:12">
      <c r="B4" s="101" t="s">
        <v>72</v>
      </c>
      <c r="C4" s="150"/>
      <c r="D4" s="54"/>
      <c r="E4" s="54"/>
      <c r="F4" s="54"/>
      <c r="G4" s="102"/>
    </row>
    <row r="5" spans="2:12">
      <c r="B5" s="101" t="s">
        <v>73</v>
      </c>
      <c r="C5" s="150"/>
      <c r="D5" s="57">
        <v>30</v>
      </c>
      <c r="E5" s="313"/>
      <c r="F5" s="313"/>
      <c r="G5" s="102"/>
    </row>
    <row r="6" spans="2:12">
      <c r="B6" s="101" t="s">
        <v>74</v>
      </c>
      <c r="C6" s="150"/>
      <c r="D6" s="54">
        <f t="shared" ref="D6" si="0">D5*D4</f>
        <v>0</v>
      </c>
      <c r="E6" s="132"/>
      <c r="F6" s="132"/>
      <c r="G6" s="102"/>
      <c r="H6" s="91"/>
    </row>
    <row r="7" spans="2:12">
      <c r="B7" s="101" t="s">
        <v>75</v>
      </c>
      <c r="C7" s="117">
        <f>East_Summary!C14</f>
        <v>0</v>
      </c>
      <c r="D7" s="117">
        <f>HHOG!E9</f>
        <v>183.69810000000001</v>
      </c>
      <c r="E7" s="88"/>
      <c r="F7" s="88"/>
      <c r="G7" s="102">
        <f>SUM(D7:F7)-C7</f>
        <v>183.69810000000001</v>
      </c>
      <c r="H7" s="58"/>
    </row>
    <row r="8" spans="2:12">
      <c r="B8" s="101"/>
      <c r="C8" s="150"/>
      <c r="D8" s="78"/>
      <c r="E8" s="92"/>
      <c r="F8" s="92"/>
      <c r="G8" s="103"/>
      <c r="H8" s="58"/>
      <c r="I8" s="58"/>
    </row>
    <row r="9" spans="2:12" ht="13.5" thickBot="1">
      <c r="B9" s="104" t="s">
        <v>76</v>
      </c>
      <c r="C9" s="151">
        <f t="shared" ref="C9:G9" si="1">C7</f>
        <v>0</v>
      </c>
      <c r="D9" s="63">
        <f t="shared" si="1"/>
        <v>183.69810000000001</v>
      </c>
      <c r="E9" s="63">
        <f t="shared" si="1"/>
        <v>0</v>
      </c>
      <c r="F9" s="63">
        <f t="shared" si="1"/>
        <v>0</v>
      </c>
      <c r="G9" s="106">
        <f t="shared" si="1"/>
        <v>183.69810000000001</v>
      </c>
      <c r="H9" s="58"/>
      <c r="I9" s="58"/>
    </row>
    <row r="10" spans="2:12" ht="13">
      <c r="B10" s="189"/>
      <c r="C10" s="307"/>
      <c r="D10" s="191"/>
      <c r="E10" s="191"/>
      <c r="F10" s="191"/>
      <c r="G10" s="193"/>
      <c r="H10" s="58"/>
      <c r="I10" s="58"/>
    </row>
    <row r="11" spans="2:12" ht="13">
      <c r="B11" s="189"/>
      <c r="C11" s="307"/>
      <c r="D11" s="191"/>
      <c r="E11" s="192"/>
      <c r="F11" s="192"/>
      <c r="G11" s="193"/>
      <c r="H11" s="58"/>
      <c r="I11" s="58"/>
      <c r="J11" s="58"/>
      <c r="K11" s="58"/>
      <c r="L11" s="58"/>
    </row>
    <row r="12" spans="2:12" ht="13">
      <c r="B12" s="379" t="s">
        <v>77</v>
      </c>
      <c r="C12" s="380"/>
      <c r="D12" s="195"/>
      <c r="E12" s="138">
        <f>D9+E9</f>
        <v>183.69810000000001</v>
      </c>
      <c r="F12" s="138"/>
      <c r="G12" s="193"/>
      <c r="H12" s="58"/>
    </row>
    <row r="13" spans="2:12" ht="13">
      <c r="B13" s="194"/>
      <c r="C13" s="170"/>
      <c r="D13" s="195"/>
      <c r="E13" s="138"/>
      <c r="F13" s="138"/>
      <c r="G13" s="193"/>
      <c r="H13" s="58"/>
    </row>
    <row r="14" spans="2:12" ht="13.5" thickBot="1">
      <c r="B14" s="194"/>
      <c r="C14" s="310"/>
      <c r="D14" s="195"/>
      <c r="E14" s="411" t="s">
        <v>274</v>
      </c>
      <c r="F14" s="411"/>
      <c r="G14" s="193"/>
      <c r="H14" s="58"/>
    </row>
    <row r="15" spans="2:12" ht="13">
      <c r="B15" s="194"/>
      <c r="C15" s="170"/>
      <c r="D15" s="195"/>
      <c r="E15" s="120" t="s">
        <v>197</v>
      </c>
      <c r="F15" s="169" t="s">
        <v>198</v>
      </c>
      <c r="G15" s="193"/>
      <c r="H15" s="58"/>
    </row>
    <row r="16" spans="2:12" ht="13">
      <c r="B16" s="355"/>
      <c r="C16" s="356"/>
      <c r="D16" s="195"/>
      <c r="E16" s="52" t="s">
        <v>238</v>
      </c>
      <c r="F16" s="142">
        <f>HHOG!E7</f>
        <v>183.69810000000001</v>
      </c>
      <c r="G16" s="193"/>
      <c r="H16" s="58"/>
    </row>
    <row r="17" spans="2:8" ht="13">
      <c r="B17" s="355"/>
      <c r="C17" s="356"/>
      <c r="D17" s="195"/>
      <c r="E17" s="357"/>
      <c r="F17" s="213"/>
      <c r="G17" s="193"/>
      <c r="H17" s="58"/>
    </row>
    <row r="18" spans="2:8" ht="13.5" thickBot="1">
      <c r="B18" s="355"/>
      <c r="C18" s="358"/>
      <c r="D18" s="195"/>
      <c r="E18" s="122" t="s">
        <v>157</v>
      </c>
      <c r="F18" s="123">
        <f>SUM(F16:F16)</f>
        <v>183.69810000000001</v>
      </c>
      <c r="G18" s="193"/>
      <c r="H18" s="58"/>
    </row>
    <row r="19" spans="2:8" ht="13">
      <c r="B19" s="355"/>
      <c r="C19" s="358"/>
      <c r="D19" s="195"/>
      <c r="E19" s="192"/>
      <c r="F19" s="137"/>
      <c r="G19" s="193"/>
      <c r="H19" s="58"/>
    </row>
    <row r="20" spans="2:8" ht="13">
      <c r="B20" s="355"/>
      <c r="C20" s="359"/>
      <c r="D20" s="195"/>
      <c r="E20" s="192"/>
      <c r="F20" s="137"/>
      <c r="G20" s="193"/>
      <c r="H20" s="58"/>
    </row>
    <row r="21" spans="2:8" ht="17.25" customHeight="1" thickBot="1">
      <c r="B21" s="196"/>
      <c r="C21" s="314"/>
      <c r="D21" s="197"/>
      <c r="E21" s="197"/>
      <c r="F21" s="197"/>
      <c r="G21" s="198"/>
    </row>
    <row r="22" spans="2:8" ht="13" thickTop="1"/>
    <row r="24" spans="2:8">
      <c r="D24" s="58"/>
    </row>
  </sheetData>
  <mergeCells count="4">
    <mergeCell ref="B2:G2"/>
    <mergeCell ref="I3:J3"/>
    <mergeCell ref="B12:C12"/>
    <mergeCell ref="E14:F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33</vt:i4>
      </vt:variant>
    </vt:vector>
  </HeadingPairs>
  <TitlesOfParts>
    <vt:vector size="71" baseType="lpstr">
      <vt:lpstr>DGDO</vt:lpstr>
      <vt:lpstr>West_Summary</vt:lpstr>
      <vt:lpstr>NGML Gas Allocation </vt:lpstr>
      <vt:lpstr>NGML_Attribution</vt:lpstr>
      <vt:lpstr>NPDC JV ALLOCATION</vt:lpstr>
      <vt:lpstr>CNL Allocation </vt:lpstr>
      <vt:lpstr>NEPL-Oredo</vt:lpstr>
      <vt:lpstr>NPDC Neconde</vt:lpstr>
      <vt:lpstr>Panocean Allocation</vt:lpstr>
      <vt:lpstr>Xenergi</vt:lpstr>
      <vt:lpstr>Chorus</vt:lpstr>
      <vt:lpstr>SPDC</vt:lpstr>
      <vt:lpstr>AHL Allocation </vt:lpstr>
      <vt:lpstr>Axxela</vt:lpstr>
      <vt:lpstr>PPL Allocation  </vt:lpstr>
      <vt:lpstr>SNG</vt:lpstr>
      <vt:lpstr>Seplat (Oben)  Allocation</vt:lpstr>
      <vt:lpstr>Egbin_Attribution</vt:lpstr>
      <vt:lpstr>Egbin Allocation</vt:lpstr>
      <vt:lpstr>NDPHC Attribution</vt:lpstr>
      <vt:lpstr>Oceandaire</vt:lpstr>
      <vt:lpstr>Gashub</vt:lpstr>
      <vt:lpstr>Transcorp</vt:lpstr>
      <vt:lpstr>Tetracore</vt:lpstr>
      <vt:lpstr>QSL</vt:lpstr>
      <vt:lpstr>PCC</vt:lpstr>
      <vt:lpstr>MSN</vt:lpstr>
      <vt:lpstr>Pacific</vt:lpstr>
      <vt:lpstr>DFL_Attribution</vt:lpstr>
      <vt:lpstr>East_Summary</vt:lpstr>
      <vt:lpstr>Accugas</vt:lpstr>
      <vt:lpstr>HHOG</vt:lpstr>
      <vt:lpstr>NEOL</vt:lpstr>
      <vt:lpstr>FIPL</vt:lpstr>
      <vt:lpstr>Notore</vt:lpstr>
      <vt:lpstr>CHGC</vt:lpstr>
      <vt:lpstr>NGML</vt:lpstr>
      <vt:lpstr>TransAfam</vt:lpstr>
      <vt:lpstr>Accugas!Print_Area</vt:lpstr>
      <vt:lpstr>'AHL Allocation '!Print_Area</vt:lpstr>
      <vt:lpstr>Axxela!Print_Area</vt:lpstr>
      <vt:lpstr>CHGC!Print_Area</vt:lpstr>
      <vt:lpstr>Chorus!Print_Area</vt:lpstr>
      <vt:lpstr>'CNL Allocation '!Print_Area</vt:lpstr>
      <vt:lpstr>DFL_Attribution!Print_Area</vt:lpstr>
      <vt:lpstr>Egbin_Attribution!Print_Area</vt:lpstr>
      <vt:lpstr>FIPL!Print_Area</vt:lpstr>
      <vt:lpstr>Gashub!Print_Area</vt:lpstr>
      <vt:lpstr>HHOG!Print_Area</vt:lpstr>
      <vt:lpstr>MSN!Print_Area</vt:lpstr>
      <vt:lpstr>'NDPHC Attribution'!Print_Area</vt:lpstr>
      <vt:lpstr>NEOL!Print_Area</vt:lpstr>
      <vt:lpstr>'NEPL-Oredo'!Print_Area</vt:lpstr>
      <vt:lpstr>NGML!Print_Area</vt:lpstr>
      <vt:lpstr>NGML_Attribution!Print_Area</vt:lpstr>
      <vt:lpstr>Notore!Print_Area</vt:lpstr>
      <vt:lpstr>'NPDC JV ALLOCATION'!Print_Area</vt:lpstr>
      <vt:lpstr>'NPDC Neconde'!Print_Area</vt:lpstr>
      <vt:lpstr>Oceandaire!Print_Area</vt:lpstr>
      <vt:lpstr>Pacific!Print_Area</vt:lpstr>
      <vt:lpstr>'Panocean Allocation'!Print_Area</vt:lpstr>
      <vt:lpstr>PCC!Print_Area</vt:lpstr>
      <vt:lpstr>'PPL Allocation  '!Print_Area</vt:lpstr>
      <vt:lpstr>QSL!Print_Area</vt:lpstr>
      <vt:lpstr>'Seplat (Oben)  Allocation'!Print_Area</vt:lpstr>
      <vt:lpstr>SNG!Print_Area</vt:lpstr>
      <vt:lpstr>SPDC!Print_Area</vt:lpstr>
      <vt:lpstr>Tetracore!Print_Area</vt:lpstr>
      <vt:lpstr>TransAfam!Print_Area</vt:lpstr>
      <vt:lpstr>Transcorp!Print_Area</vt:lpstr>
      <vt:lpstr>Xenergi!Print_Area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Yetti Mathias</dc:creator>
  <cp:keywords/>
  <dc:description/>
  <cp:lastModifiedBy>Admin</cp:lastModifiedBy>
  <cp:revision/>
  <dcterms:created xsi:type="dcterms:W3CDTF">2018-07-04T11:40:26Z</dcterms:created>
  <dcterms:modified xsi:type="dcterms:W3CDTF">2024-01-11T12:04:35Z</dcterms:modified>
  <cp:category/>
  <cp:contentStatus/>
</cp:coreProperties>
</file>